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7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1" i="1" l="1"/>
  <c r="E72" i="1"/>
  <c r="E73" i="1"/>
  <c r="E74" i="1"/>
  <c r="E75" i="1"/>
  <c r="E76" i="1"/>
  <c r="E77" i="1"/>
  <c r="E78" i="1"/>
  <c r="F76" i="1"/>
  <c r="F77" i="1"/>
  <c r="F78" i="1"/>
  <c r="G76" i="1"/>
  <c r="G77" i="1"/>
  <c r="G78" i="1"/>
  <c r="H76" i="1"/>
  <c r="H77" i="1"/>
  <c r="H78" i="1"/>
  <c r="I76" i="1"/>
  <c r="I77" i="1"/>
  <c r="I78" i="1"/>
  <c r="J76" i="1"/>
  <c r="J77" i="1"/>
  <c r="J78" i="1"/>
  <c r="K76" i="1"/>
  <c r="K77" i="1"/>
  <c r="K78" i="1"/>
  <c r="L76" i="1"/>
  <c r="L77" i="1"/>
  <c r="L78" i="1"/>
  <c r="M76" i="1"/>
  <c r="M77" i="1"/>
  <c r="M78" i="1"/>
  <c r="N76" i="1"/>
  <c r="N77" i="1"/>
  <c r="N78" i="1"/>
  <c r="O76" i="1"/>
  <c r="O77" i="1"/>
  <c r="O78" i="1"/>
  <c r="P76" i="1"/>
  <c r="P77" i="1"/>
  <c r="P78" i="1"/>
  <c r="Q76" i="1"/>
  <c r="Q77" i="1"/>
  <c r="Q78" i="1"/>
  <c r="R76" i="1"/>
  <c r="R77" i="1"/>
  <c r="R78" i="1"/>
  <c r="S76" i="1"/>
  <c r="S77" i="1"/>
  <c r="S78" i="1"/>
  <c r="T76" i="1"/>
  <c r="T77" i="1"/>
  <c r="T78" i="1"/>
  <c r="U76" i="1"/>
  <c r="U77" i="1"/>
  <c r="U78" i="1"/>
  <c r="V76" i="1"/>
  <c r="V77" i="1"/>
  <c r="V78" i="1"/>
  <c r="W76" i="1"/>
  <c r="W77" i="1"/>
  <c r="W78" i="1"/>
  <c r="X76" i="1"/>
  <c r="X77" i="1"/>
  <c r="X78" i="1"/>
  <c r="Y76" i="1"/>
  <c r="Y77" i="1"/>
  <c r="Y78" i="1"/>
  <c r="Z76" i="1"/>
  <c r="Z77" i="1"/>
  <c r="Z78" i="1"/>
  <c r="AA76" i="1"/>
  <c r="AA77" i="1"/>
  <c r="AA78" i="1"/>
  <c r="AB76" i="1"/>
  <c r="AB77" i="1"/>
  <c r="AB78" i="1"/>
  <c r="AC76" i="1"/>
  <c r="AC77" i="1"/>
  <c r="AC78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R75" i="1" s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O64" i="1" l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D75" i="1" s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B74" i="1" l="1"/>
  <c r="O75" i="1"/>
  <c r="AB75" i="1" s="1"/>
  <c r="AB73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P27" i="1" l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C23" i="1"/>
  <c r="AB46" i="1"/>
  <c r="N45" i="1"/>
  <c r="L40" i="1"/>
  <c r="M38" i="1"/>
  <c r="M39" i="1" s="1"/>
  <c r="M40" i="1" s="1"/>
  <c r="S2" i="1" l="1"/>
  <c r="H74" i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S56" i="1" s="1"/>
  <c r="S45" i="1"/>
  <c r="H75" i="1"/>
  <c r="U43" i="1" s="1"/>
  <c r="S68" i="1"/>
  <c r="S50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6" i="1"/>
  <c r="S25" i="1"/>
  <c r="S13" i="1"/>
  <c r="S20" i="1"/>
  <c r="S28" i="1" l="1"/>
  <c r="S15" i="1"/>
  <c r="S36" i="1"/>
  <c r="S21" i="1"/>
  <c r="S3" i="1"/>
  <c r="S39" i="1"/>
  <c r="S46" i="1"/>
  <c r="S75" i="1"/>
  <c r="S64" i="1"/>
  <c r="S70" i="1"/>
  <c r="U67" i="1"/>
  <c r="S30" i="1"/>
  <c r="S10" i="1"/>
  <c r="S29" i="1"/>
  <c r="S8" i="1"/>
  <c r="S31" i="1"/>
  <c r="S12" i="1"/>
  <c r="S11" i="1"/>
  <c r="S35" i="1"/>
  <c r="S4" i="1"/>
  <c r="S43" i="1"/>
  <c r="S57" i="1"/>
  <c r="S62" i="1"/>
  <c r="S49" i="1"/>
  <c r="S51" i="1"/>
  <c r="S52" i="1"/>
  <c r="S48" i="1"/>
  <c r="S44" i="1"/>
  <c r="S32" i="1"/>
  <c r="S33" i="1"/>
  <c r="S17" i="1"/>
  <c r="S18" i="1"/>
  <c r="S24" i="1"/>
  <c r="S9" i="1"/>
  <c r="S26" i="1"/>
  <c r="S16" i="1"/>
  <c r="S34" i="1"/>
  <c r="S38" i="1"/>
  <c r="S22" i="1"/>
  <c r="S7" i="1"/>
  <c r="S14" i="1"/>
  <c r="S23" i="1"/>
  <c r="S27" i="1"/>
  <c r="S19" i="1"/>
  <c r="S37" i="1"/>
  <c r="S5" i="1"/>
  <c r="S73" i="1"/>
  <c r="S59" i="1"/>
  <c r="S58" i="1"/>
  <c r="S42" i="1"/>
  <c r="S69" i="1"/>
  <c r="S40" i="1"/>
  <c r="S63" i="1"/>
  <c r="S53" i="1"/>
  <c r="S54" i="1"/>
  <c r="U71" i="1"/>
  <c r="S74" i="1"/>
  <c r="S60" i="1"/>
  <c r="S47" i="1"/>
  <c r="S41" i="1"/>
  <c r="S65" i="1"/>
  <c r="S72" i="1"/>
  <c r="S61" i="1"/>
  <c r="S71" i="1"/>
  <c r="S55" i="1"/>
  <c r="S66" i="1"/>
  <c r="U53" i="1"/>
  <c r="U50" i="1"/>
  <c r="U63" i="1"/>
  <c r="S67" i="1"/>
  <c r="U48" i="1"/>
  <c r="U49" i="1"/>
  <c r="U62" i="1"/>
  <c r="U74" i="1"/>
  <c r="U65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J75" i="1" l="1"/>
  <c r="W75" i="1" s="1"/>
  <c r="I75" i="1"/>
  <c r="V66" i="1" s="1"/>
  <c r="W42" i="1"/>
  <c r="W54" i="1"/>
  <c r="W57" i="1"/>
  <c r="W65" i="1"/>
  <c r="W68" i="1"/>
  <c r="W74" i="1"/>
  <c r="W73" i="1"/>
  <c r="W51" i="1"/>
  <c r="W72" i="1"/>
  <c r="V45" i="1"/>
  <c r="V62" i="1"/>
  <c r="V70" i="1"/>
  <c r="V51" i="1"/>
  <c r="V43" i="1"/>
  <c r="V64" i="1"/>
  <c r="V71" i="1"/>
  <c r="V48" i="1"/>
  <c r="V54" i="1"/>
  <c r="V67" i="1"/>
  <c r="V68" i="1"/>
  <c r="V59" i="1"/>
  <c r="V49" i="1"/>
  <c r="V52" i="1"/>
  <c r="V50" i="1"/>
  <c r="V65" i="1"/>
  <c r="V47" i="1"/>
  <c r="V55" i="1"/>
  <c r="V58" i="1"/>
  <c r="V44" i="1"/>
  <c r="V57" i="1"/>
  <c r="V61" i="1"/>
  <c r="V40" i="1"/>
  <c r="V72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W43" i="1" l="1"/>
  <c r="W60" i="1"/>
  <c r="W63" i="1"/>
  <c r="W67" i="1"/>
  <c r="W49" i="1"/>
  <c r="W52" i="1"/>
  <c r="W66" i="1"/>
  <c r="W69" i="1"/>
  <c r="W71" i="1"/>
  <c r="V69" i="1"/>
  <c r="V74" i="1"/>
  <c r="V42" i="1"/>
  <c r="V63" i="1"/>
  <c r="V73" i="1"/>
  <c r="W59" i="1"/>
  <c r="W61" i="1"/>
  <c r="W56" i="1"/>
  <c r="W58" i="1"/>
  <c r="W44" i="1"/>
  <c r="W40" i="1"/>
  <c r="W41" i="1"/>
  <c r="W45" i="1"/>
  <c r="W70" i="1"/>
  <c r="W53" i="1"/>
  <c r="W64" i="1"/>
  <c r="W46" i="1"/>
  <c r="V46" i="1"/>
  <c r="W55" i="1"/>
  <c r="W47" i="1"/>
  <c r="W39" i="1"/>
  <c r="W62" i="1"/>
  <c r="W50" i="1"/>
  <c r="W48" i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G62" i="1"/>
  <c r="G63" i="1" s="1"/>
  <c r="M51" i="1"/>
  <c r="M52" i="1" s="1"/>
  <c r="M53" i="1" s="1"/>
  <c r="L50" i="1"/>
  <c r="K75" i="1" l="1"/>
  <c r="X2" i="1" s="1"/>
  <c r="X33" i="1"/>
  <c r="X29" i="1"/>
  <c r="X39" i="1"/>
  <c r="X9" i="1"/>
  <c r="X73" i="1"/>
  <c r="X6" i="1"/>
  <c r="X59" i="1"/>
  <c r="X4" i="1"/>
  <c r="X48" i="1"/>
  <c r="X71" i="1"/>
  <c r="X13" i="1"/>
  <c r="X54" i="1"/>
  <c r="X65" i="1"/>
  <c r="X24" i="1"/>
  <c r="X34" i="1"/>
  <c r="X11" i="1"/>
  <c r="X44" i="1"/>
  <c r="X37" i="1"/>
  <c r="X45" i="1"/>
  <c r="X23" i="1"/>
  <c r="X10" i="1"/>
  <c r="X72" i="1"/>
  <c r="P39" i="1"/>
  <c r="N69" i="1"/>
  <c r="G64" i="1"/>
  <c r="M54" i="1"/>
  <c r="M55" i="1" s="1"/>
  <c r="L51" i="1"/>
  <c r="L52" i="1" s="1"/>
  <c r="L53" i="1" s="1"/>
  <c r="X41" i="1" l="1"/>
  <c r="X25" i="1"/>
  <c r="X26" i="1"/>
  <c r="X50" i="1"/>
  <c r="X16" i="1"/>
  <c r="X47" i="1"/>
  <c r="X74" i="1"/>
  <c r="X38" i="1"/>
  <c r="X66" i="1"/>
  <c r="X43" i="1"/>
  <c r="X42" i="1"/>
  <c r="X56" i="1"/>
  <c r="X67" i="1"/>
  <c r="X32" i="1"/>
  <c r="X53" i="1"/>
  <c r="X18" i="1"/>
  <c r="X3" i="1"/>
  <c r="X35" i="1"/>
  <c r="X30" i="1"/>
  <c r="X75" i="1"/>
  <c r="X63" i="1"/>
  <c r="X57" i="1"/>
  <c r="X40" i="1"/>
  <c r="X27" i="1"/>
  <c r="X12" i="1"/>
  <c r="X55" i="1"/>
  <c r="X68" i="1"/>
  <c r="X21" i="1"/>
  <c r="X20" i="1"/>
  <c r="X7" i="1"/>
  <c r="X46" i="1"/>
  <c r="X51" i="1"/>
  <c r="X28" i="1"/>
  <c r="X5" i="1"/>
  <c r="X14" i="1"/>
  <c r="X8" i="1"/>
  <c r="X36" i="1"/>
  <c r="X22" i="1"/>
  <c r="X31" i="1"/>
  <c r="X58" i="1"/>
  <c r="X64" i="1"/>
  <c r="X62" i="1"/>
  <c r="X15" i="1"/>
  <c r="X17" i="1"/>
  <c r="X49" i="1"/>
  <c r="X70" i="1"/>
  <c r="X60" i="1"/>
  <c r="X52" i="1"/>
  <c r="X19" i="1"/>
  <c r="X69" i="1"/>
  <c r="X61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C45" i="1" l="1"/>
  <c r="AC44" i="1"/>
  <c r="AA2" i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G75" i="1" s="1"/>
  <c r="T75" i="1" s="1"/>
  <c r="AC73" i="1"/>
  <c r="P74" i="1"/>
  <c r="N72" i="1"/>
  <c r="N73" i="1" s="1"/>
  <c r="L67" i="1"/>
  <c r="M61" i="1"/>
  <c r="AC51" i="1" l="1"/>
  <c r="P75" i="1"/>
  <c r="AC75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AA44" i="1" l="1"/>
  <c r="N75" i="1"/>
  <c r="AA75" i="1" s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M68" i="1"/>
  <c r="L72" i="1" l="1"/>
  <c r="L73" i="1" s="1"/>
  <c r="L74" i="1"/>
  <c r="L75" i="1" s="1"/>
  <c r="M69" i="1"/>
  <c r="Y75" i="1" l="1"/>
  <c r="Y2" i="1"/>
  <c r="Y69" i="1"/>
  <c r="Y63" i="1"/>
  <c r="Y20" i="1"/>
  <c r="Y64" i="1"/>
  <c r="Y16" i="1"/>
  <c r="Y27" i="1"/>
  <c r="Y48" i="1"/>
  <c r="Y38" i="1"/>
  <c r="Y19" i="1"/>
  <c r="Y43" i="1"/>
  <c r="Y36" i="1"/>
  <c r="Y39" i="1"/>
  <c r="Y37" i="1"/>
  <c r="Y14" i="1"/>
  <c r="Y10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M71" i="1" l="1"/>
  <c r="M72" i="1" l="1"/>
  <c r="M73" i="1" l="1"/>
  <c r="M74" i="1" l="1"/>
  <c r="M75" i="1" s="1"/>
  <c r="Z75" i="1" s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<sst xmlns="http://schemas.openxmlformats.org/spreadsheetml/2006/main" count="889" uniqueCount="537">
  <si>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</si>
  <si>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</si>
  <si>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</si>
  <si>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</si>
  <si>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</si>
  <si>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</si>
  <si>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</si>
  <si>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</si>
  <si>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</si>
  <si>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</si>
  <si>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</si>
  <si>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</si>
  <si>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</si>
  <si>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</si>
  <si>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</si>
  <si>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</si>
  <si>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</si>
  <si>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</si>
  <si>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</si>
  <si>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</si>
  <si>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</si>
  <si>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</si>
  <si>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</si>
  <si>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</si>
  <si>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</si>
  <si>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</si>
  <si>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</si>
  <si>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</si>
  <si>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</si>
  <si>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</si>
  <si>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</si>
  <si>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</si>
  <si>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</si>
  <si>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</si>
  <si>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</si>
  <si>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</si>
  <si>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</si>
  <si>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</si>
  <si>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</si>
  <si>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</si>
  <si>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</si>
  <si>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</si>
  <si>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</si>
  <si>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</si>
  <si>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</si>
  <si>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</si>
  <si>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</si>
  <si>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</si>
  <si>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</si>
  <si>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</si>
  <si>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</si>
  <si>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</si>
  <si>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</si>
  <si>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</si>
  <si>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</si>
  <si>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</si>
  <si>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</si>
  <si>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</si>
  <si>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</si>
  <si>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</si>
  <si>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</si>
  <si>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</si>
  <si>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</si>
  <si>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</si>
  <si>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</si>
  <si>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</si>
  <si>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</si>
  <si>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</si>
  <si>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</si>
  <si>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</si>
  <si>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</si>
  <si>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</si>
  <si>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</si>
  <si>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</si>
  <si>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</si>
  <si>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</si>
  <si>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</si>
  <si>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</si>
  <si>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</si>
  <si>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</si>
  <si>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</si>
  <si>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</si>
  <si>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</si>
  <si>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</si>
  <si>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</si>
  <si>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</si>
  <si>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</si>
  <si>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</si>
  <si>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</si>
  <si>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</si>
  <si>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</si>
  <si>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</si>
  <si>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</si>
  <si>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</si>
  <si>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</si>
  <si>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</si>
  <si>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</si>
  <si>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</si>
  <si>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</si>
  <si>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</si>
  <si>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</si>
  <si>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</si>
  <si>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</si>
  <si>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</si>
  <si>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</si>
  <si>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</si>
  <si>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</si>
  <si>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</si>
  <si>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</si>
  <si>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</si>
  <si>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</si>
  <si>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</si>
  <si>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</si>
  <si>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</si>
  <si>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</si>
  <si>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</si>
  <si>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</si>
  <si>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</si>
  <si>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</si>
  <si>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</si>
  <si>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</si>
  <si>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</si>
  <si>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</si>
  <si>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</si>
  <si>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</si>
  <si>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</si>
  <si>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</si>
  <si>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</si>
  <si>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</si>
  <si>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</si>
  <si>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</si>
  <si>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</si>
  <si>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</si>
  <si>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</si>
  <si>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</si>
  <si>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</si>
  <si>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</si>
  <si>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</si>
  <si>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</si>
  <si>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</si>
  <si>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</si>
  <si>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</si>
  <si>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</si>
  <si>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</si>
  <si>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</si>
  <si>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</si>
  <si>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</si>
  <si>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</si>
  <si>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</si>
  <si>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</si>
  <si>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</si>
  <si>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</si>
  <si>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</si>
  <si>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</si>
  <si>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</si>
  <si>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</si>
  <si>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</si>
  <si>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</si>
  <si>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</si>
  <si>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</si>
  <si>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</si>
  <si>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</si>
  <si>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</si>
  <si>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</si>
  <si>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</si>
  <si>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</si>
  <si>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</si>
  <si>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</si>
  <si>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</si>
  <si>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</si>
  <si>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</si>
  <si>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</si>
  <si>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</si>
  <si>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</si>
  <si>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</si>
  <si>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</si>
  <si>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</si>
  <si>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</si>
  <si>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</si>
  <si>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</si>
  <si>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</si>
  <si>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</si>
  <si>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</si>
  <si>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</si>
  <si>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</si>
  <si>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</si>
  <si>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</si>
  <si>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</si>
  <si>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</si>
  <si>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</si>
  <si>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</si>
  <si>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</si>
  <si>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</si>
  <si>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</si>
  <si>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</si>
  <si>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</si>
  <si>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</si>
  <si>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</si>
  <si>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</si>
  <si>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</si>
  <si>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</si>
  <si>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</si>
  <si>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</si>
  <si>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</si>
  <si>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</si>
  <si>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</si>
  <si>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</si>
  <si>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</si>
  <si>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</si>
  <si>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</si>
  <si>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</si>
  <si>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</si>
  <si>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</si>
  <si>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</si>
  <si>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</si>
  <si>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</si>
  <si>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</si>
  <si>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</si>
  <si>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</si>
  <si>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</si>
  <si>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</si>
  <si>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</si>
  <si>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</si>
  <si>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</si>
  <si>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</si>
  <si>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</si>
  <si>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</si>
  <si>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</si>
  <si>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</si>
  <si>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</si>
  <si>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</si>
  <si>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</si>
  <si>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</si>
  <si>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</si>
  <si>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</si>
  <si>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</si>
  <si>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</si>
  <si>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</si>
  <si>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</si>
  <si>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</si>
  <si>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</si>
  <si>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</si>
  <si>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</si>
  <si>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</si>
  <si>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</si>
  <si>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</si>
  <si>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</si>
  <si>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</si>
  <si>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</si>
  <si>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</si>
  <si>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</si>
  <si>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</si>
  <si>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</si>
  <si>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</si>
  <si>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</si>
  <si>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</si>
  <si>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</si>
  <si>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</si>
  <si>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</si>
  <si>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</si>
  <si>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</si>
  <si>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</si>
  <si>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</si>
  <si>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</si>
  <si>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</si>
  <si>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</si>
  <si>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</si>
  <si>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</si>
  <si>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</si>
  <si>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</si>
  <si>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</si>
  <si>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</si>
  <si>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</si>
  <si>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</si>
  <si>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</si>
  <si>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</si>
  <si>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</si>
  <si>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</si>
  <si>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</si>
  <si>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</si>
  <si>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</si>
  <si>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</si>
  <si>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</si>
  <si>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</si>
  <si>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</si>
  <si>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</si>
  <si>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</si>
  <si>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</si>
  <si>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</si>
  <si>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</si>
  <si>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</si>
  <si>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</si>
  <si>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</si>
  <si>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</si>
  <si>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</si>
  <si>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</si>
  <si>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</si>
  <si>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</si>
  <si>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</si>
  <si>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</si>
  <si>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</si>
  <si>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</si>
  <si>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</si>
  <si>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</si>
  <si>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</si>
  <si>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</si>
  <si>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</si>
  <si>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</si>
  <si>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</si>
  <si>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</si>
  <si>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</si>
  <si>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</si>
  <si>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</si>
  <si>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</si>
  <si>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</si>
  <si>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</si>
  <si>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</si>
  <si>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</si>
  <si>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</si>
  <si>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</si>
  <si>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</si>
  <si>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</si>
  <si>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</si>
  <si>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</si>
  <si>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</si>
  <si>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</si>
  <si>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</si>
  <si>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</si>
  <si>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</si>
  <si>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</si>
  <si>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</si>
  <si>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</si>
  <si>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</si>
  <si>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</si>
  <si>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</si>
  <si>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</si>
  <si>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</si>
  <si>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</si>
  <si>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</si>
  <si>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</si>
  <si>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</si>
  <si>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</si>
  <si>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</si>
  <si>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</si>
  <si>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</si>
  <si>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</si>
  <si>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</si>
  <si>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</si>
  <si>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</si>
  <si>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</si>
  <si>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</si>
  <si>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</si>
  <si>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</si>
  <si>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</si>
  <si>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</si>
  <si>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</si>
  <si>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</si>
  <si>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</si>
  <si>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</si>
  <si>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</si>
  <si>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</si>
  <si>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</si>
  <si>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</si>
  <si>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</si>
  <si>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</si>
  <si>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</si>
  <si>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</si>
  <si>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</si>
  <si>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</si>
  <si>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</si>
  <si>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</si>
  <si>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</si>
  <si>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</si>
  <si>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</si>
  <si>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</si>
  <si>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</si>
  <si>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</si>
  <si>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</si>
  <si>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</si>
  <si>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</si>
  <si>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</si>
  <si>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</si>
  <si>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</si>
  <si>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</si>
  <si>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</si>
  <si>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</si>
  <si>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</si>
  <si>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</si>
  <si>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</si>
  <si>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</si>
  <si>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</si>
  <si>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</si>
  <si>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</si>
  <si>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</si>
  <si>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</si>
  <si>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</si>
  <si>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</si>
  <si>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</si>
  <si>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</si>
  <si>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</si>
  <si>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</si>
  <si>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</si>
  <si>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</si>
  <si>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</si>
  <si>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</si>
  <si>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</si>
  <si>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</si>
  <si>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</si>
  <si>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</si>
  <si>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</si>
  <si>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</si>
  <si>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</si>
  <si>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</si>
  <si>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</si>
  <si>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</si>
  <si>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</si>
  <si>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</si>
  <si>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</si>
  <si>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</si>
  <si>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</si>
  <si>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</si>
  <si>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</si>
  <si>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</si>
  <si>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</si>
  <si>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</si>
  <si>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</si>
  <si>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</si>
  <si>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</si>
  <si>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</si>
  <si>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</si>
  <si>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</si>
  <si>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</si>
  <si>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</si>
  <si>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</si>
  <si>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</si>
  <si>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</si>
  <si>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</si>
  <si>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</si>
  <si>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</si>
  <si>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</si>
  <si>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</si>
  <si>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</si>
  <si>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</si>
  <si>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</si>
  <si>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</si>
  <si>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</si>
  <si>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</si>
  <si>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</si>
  <si>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</si>
  <si>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</si>
  <si>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</si>
  <si>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</si>
  <si>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</si>
  <si>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</si>
  <si>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</si>
  <si>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</si>
  <si>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</si>
  <si>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</si>
  <si>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</si>
  <si>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</si>
  <si>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</si>
  <si>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</si>
  <si>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</si>
  <si>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</si>
  <si>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</si>
  <si>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</si>
  <si>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</si>
  <si>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</si>
  <si>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</si>
  <si>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</si>
  <si>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</si>
  <si>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</si>
  <si>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</si>
  <si>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</si>
  <si>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</si>
  <si>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</si>
  <si>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</si>
  <si>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</si>
  <si>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</si>
  <si>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</si>
  <si>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</si>
  <si>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</si>
  <si>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</si>
  <si>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</si>
  <si>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</si>
  <si>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</si>
  <si>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</si>
  <si>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</si>
  <si>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</si>
  <si>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</si>
  <si>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</si>
  <si>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</si>
  <si>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</si>
  <si>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</si>
  <si>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</si>
  <si>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</si>
  <si>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</si>
  <si>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</si>
  <si>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</si>
  <si>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</si>
  <si>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</si>
  <si>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</si>
  <si>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</si>
  <si>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</si>
  <si>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</si>
  <si>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</si>
  <si>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</si>
  <si>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</si>
  <si>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</si>
  <si>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</si>
  <si>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</si>
  <si>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</si>
  <si>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</si>
  <si>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</si>
  <si>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</si>
  <si>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</si>
  <si>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</si>
  <si>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</si>
  <si>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</si>
  <si>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</si>
  <si>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</si>
  <si>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</si>
  <si>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Правый</t>
  </si>
  <si>
    <t>Abbot Whisper MS</t>
  </si>
  <si>
    <t>Abbot Whisper LS</t>
  </si>
  <si>
    <t>150 ml</t>
  </si>
  <si>
    <t>50 ml</t>
  </si>
  <si>
    <t>Кисаримова Н.Н.</t>
  </si>
  <si>
    <t>16:00</t>
  </si>
  <si>
    <t>3,0 - 33</t>
  </si>
  <si>
    <t>3,5 - 40</t>
  </si>
  <si>
    <t>неровности контуров.</t>
  </si>
  <si>
    <r>
      <t>неровности контуров проксимального сегмента, на границе проксимального и среднего сегментов стеноз ~ 40%, за стенозом определяется миокардиальный мостик среднего сегмента с компрессией в систолу до 50%. Антеградный  кровоток TIMI III.</t>
    </r>
    <r>
      <rPr>
        <b/>
        <sz val="11"/>
        <color theme="1"/>
        <rFont val="Arial Narrow"/>
        <family val="2"/>
        <charset val="204"/>
      </rPr>
      <t xml:space="preserve"> ИМА:</t>
    </r>
    <r>
      <rPr>
        <sz val="11"/>
        <color theme="1"/>
        <rFont val="Arial Narrow"/>
        <family val="2"/>
        <charset val="204"/>
      </rPr>
      <t xml:space="preserve"> стеноз проксимального сегмента 30%. нтеградный  кровоток TIMI III</t>
    </r>
  </si>
  <si>
    <t xml:space="preserve">гипоплазирован, проходим, контуры ровные. Антеградный  кровоток TIMI III. </t>
  </si>
  <si>
    <t xml:space="preserve">острая тотальная окклюзия на уровне проксимального сегмента, диффузный стеноз на протяжении среднего сегмента 90%, стеноз дистального сегмента 30%, TTG3. Антеградный  кровоток TIMI 0. Умеренные коллатерали из СВ ПНА с ретроградным контрастированием ЗМЖВ и ЗБВ </t>
  </si>
  <si>
    <t>Устье ПКА катетеризировано проводниковым катетером Launcher JR  4.0 6Fr. Коронарный проводник fielder проведён в дистальный сегмент ПКА.  Реканализация и ангиопластика выполена БК Колибри 2.0-15 и аспирационным каттером Medtronic Export Advance (получен тромб 2*3 мм).  В зону среднего и проксимального сегментов с покрытием  всех значимых стенозов последовательно с оверлаппингом  имплантированы DES Калипсо 3.0 - 33 и  DES  Evermine  3.5-40 мм, давлением до  14 атм. c последующей постдилатацией дистального и проксимального  стентов БК Аксиома 4.0-12, давлением 9-16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  Ангиографический результат удовлетворительный. Пациентка в стабильном состоянии транспортируется в ПРИТ для дальнейшего наблюдения и лечения.</t>
  </si>
  <si>
    <t>Совместно с д/кардиологом: с учетом клинических данных, ЭКГ и КАГ рекомендована реканализация ПКА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</si>
</sst>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0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142876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62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19" zoomScaleNormal="100" zoomScaleSheetLayoutView="100" zoomScalePageLayoutView="90" workbookViewId="0">
      <selection activeCell="L40" sqref="L4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7" t="s">
        <v>213</v>
      </c>
      <c r="B6" s="218"/>
      <c r="C6" s="218"/>
      <c r="D6" s="218"/>
      <c r="E6" s="218"/>
      <c r="F6" s="218"/>
      <c r="G6" s="218"/>
      <c r="H6" s="219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45498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0.83333333333333337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0.83819444444444446</v>
      </c>
      <c r="C10" s="55"/>
      <c r="D10" s="95" t="s">
        <v>173</v>
      </c>
      <c r="E10" s="93"/>
      <c r="F10" s="93"/>
      <c r="G10" s="24" t="s">
        <v>275</v>
      </c>
      <c r="H10" s="26"/>
    </row>
    <row r="11" spans="1:8" ht="17.25" thickTop="1" thickBot="1">
      <c r="A11" s="89" t="s">
        <v>192</v>
      </c>
      <c r="B11" s="203" t="s">
        <v>527</v>
      </c>
      <c r="C11" s="8"/>
      <c r="D11" s="95" t="s">
        <v>170</v>
      </c>
      <c r="E11" s="93"/>
      <c r="F11" s="93"/>
      <c r="G11" s="24" t="s">
        <v>251</v>
      </c>
      <c r="H11" s="26"/>
    </row>
    <row r="12" spans="1:8" ht="16.5" thickTop="1">
      <c r="A12" s="81" t="s">
        <v>8</v>
      </c>
      <c r="B12" s="82">
        <v>22576</v>
      </c>
      <c r="C12" s="12"/>
      <c r="D12" s="95" t="s">
        <v>303</v>
      </c>
      <c r="E12" s="93"/>
      <c r="F12" s="93"/>
      <c r="G12" s="24" t="s">
        <v>369</v>
      </c>
      <c r="H12" s="26"/>
    </row>
    <row r="13" spans="1:8" ht="15.75">
      <c r="A13" s="15" t="s">
        <v>10</v>
      </c>
      <c r="B13" s="30">
        <f>DATEDIF(B12,B8,"y")</f>
        <v>62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21299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5" t="s">
        <v>399</v>
      </c>
      <c r="H15" s="169" t="s">
        <v>528</v>
      </c>
    </row>
    <row r="16" spans="1:8" ht="15.6" customHeight="1">
      <c r="A16" s="15" t="s">
        <v>106</v>
      </c>
      <c r="B16" s="19" t="s">
        <v>486</v>
      </c>
      <c r="D16" s="36"/>
      <c r="E16" s="36"/>
      <c r="F16" s="36"/>
      <c r="G16" s="166" t="s">
        <v>402</v>
      </c>
      <c r="H16" s="164">
        <v>5750</v>
      </c>
    </row>
    <row r="17" spans="1:8" ht="14.45" customHeight="1">
      <c r="A17" s="40"/>
      <c r="B17" s="31"/>
      <c r="C17" s="31"/>
      <c r="D17" s="88"/>
      <c r="E17" s="88"/>
      <c r="F17" s="88"/>
      <c r="G17" s="167" t="s">
        <v>388</v>
      </c>
      <c r="H17" s="168">
        <f>H16*0.0019</f>
        <v>10.925000000000001</v>
      </c>
    </row>
    <row r="18" spans="1:8" ht="14.45" customHeight="1">
      <c r="A18" s="57" t="s">
        <v>188</v>
      </c>
      <c r="B18" s="87" t="s">
        <v>522</v>
      </c>
      <c r="D18" s="28" t="s">
        <v>210</v>
      </c>
      <c r="E18" s="28"/>
      <c r="F18" s="28"/>
      <c r="G18" s="85" t="s">
        <v>189</v>
      </c>
      <c r="H18" s="86" t="s">
        <v>507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20" t="s">
        <v>531</v>
      </c>
      <c r="C20" s="221"/>
      <c r="D20" s="221"/>
      <c r="E20" s="221"/>
      <c r="F20" s="221"/>
      <c r="G20" s="221"/>
      <c r="H20" s="222"/>
    </row>
    <row r="21" spans="1:8">
      <c r="A21" s="58"/>
      <c r="B21" s="223"/>
      <c r="C21" s="223"/>
      <c r="D21" s="223"/>
      <c r="E21" s="223"/>
      <c r="F21" s="223"/>
      <c r="G21" s="223"/>
      <c r="H21" s="224"/>
    </row>
    <row r="22" spans="1:8" ht="15.6" customHeight="1">
      <c r="A22" s="59" t="s">
        <v>271</v>
      </c>
      <c r="B22" s="225" t="s">
        <v>532</v>
      </c>
      <c r="C22" s="225"/>
      <c r="D22" s="225"/>
      <c r="E22" s="225"/>
      <c r="F22" s="225"/>
      <c r="G22" s="225"/>
      <c r="H22" s="226"/>
    </row>
    <row r="23" spans="1:8" ht="14.45" customHeight="1">
      <c r="A23" s="38"/>
      <c r="B23" s="227"/>
      <c r="C23" s="227"/>
      <c r="D23" s="227"/>
      <c r="E23" s="227"/>
      <c r="F23" s="227"/>
      <c r="G23" s="227"/>
      <c r="H23" s="228"/>
    </row>
    <row r="24" spans="1:8" ht="14.45" customHeight="1">
      <c r="A24" s="60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38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40"/>
      <c r="B26" s="229"/>
      <c r="C26" s="229"/>
      <c r="D26" s="229"/>
      <c r="E26" s="229"/>
      <c r="F26" s="229"/>
      <c r="G26" s="229"/>
      <c r="H26" s="230"/>
    </row>
    <row r="27" spans="1:8" ht="14.45" customHeight="1">
      <c r="A27" s="59" t="s">
        <v>272</v>
      </c>
      <c r="B27" s="225" t="s">
        <v>533</v>
      </c>
      <c r="C27" s="225"/>
      <c r="D27" s="225"/>
      <c r="E27" s="225"/>
      <c r="F27" s="225"/>
      <c r="G27" s="225"/>
      <c r="H27" s="226"/>
    </row>
    <row r="28" spans="1:8" ht="15.6" customHeight="1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59" t="s">
        <v>273</v>
      </c>
      <c r="B32" s="225" t="s">
        <v>534</v>
      </c>
      <c r="C32" s="225"/>
      <c r="D32" s="225"/>
      <c r="E32" s="225"/>
      <c r="F32" s="225"/>
      <c r="G32" s="225"/>
      <c r="H32" s="226"/>
    </row>
    <row r="33" spans="1:8" ht="14.45" customHeight="1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38"/>
      <c r="D37" s="213" t="str">
        <f>IF($A$6=Вмешательства!$D$3,Вмешательства!$F$18,"")</f>
        <v/>
      </c>
      <c r="E37" s="213"/>
      <c r="F37" s="119"/>
      <c r="G37" s="119"/>
      <c r="H37" s="123"/>
    </row>
    <row r="38" spans="1:8" ht="14.45" customHeight="1">
      <c r="A38" s="38"/>
      <c r="C38" s="124"/>
      <c r="D38" s="214"/>
      <c r="E38" s="215"/>
      <c r="F38" s="215"/>
      <c r="G38" s="215"/>
      <c r="H38" s="216"/>
    </row>
    <row r="39" spans="1:8" ht="14.45" customHeight="1">
      <c r="A39" s="35"/>
      <c r="B39" s="119"/>
      <c r="C39" s="124"/>
      <c r="D39" s="215"/>
      <c r="E39" s="215"/>
      <c r="F39" s="215"/>
      <c r="G39" s="215"/>
      <c r="H39" s="216"/>
    </row>
    <row r="40" spans="1:8" ht="14.45" customHeight="1">
      <c r="A40" s="35"/>
      <c r="B40" s="119"/>
      <c r="C40" s="124"/>
      <c r="D40" s="215"/>
      <c r="E40" s="215"/>
      <c r="F40" s="215"/>
      <c r="G40" s="215"/>
      <c r="H40" s="216"/>
    </row>
    <row r="41" spans="1:8" ht="14.45" customHeight="1">
      <c r="A41" s="35"/>
      <c r="B41" s="119"/>
      <c r="C41" s="124"/>
      <c r="D41" s="215"/>
      <c r="E41" s="215"/>
      <c r="F41" s="215"/>
      <c r="G41" s="215"/>
      <c r="H41" s="216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10" t="s">
        <v>536</v>
      </c>
      <c r="E43" s="211"/>
      <c r="F43" s="211"/>
      <c r="G43" s="211"/>
      <c r="H43" s="212"/>
    </row>
    <row r="44" spans="1:8" ht="14.45" customHeight="1">
      <c r="A44" s="35"/>
      <c r="B44" s="119"/>
      <c r="C44" s="126"/>
      <c r="D44" s="211"/>
      <c r="E44" s="211"/>
      <c r="F44" s="211"/>
      <c r="G44" s="211"/>
      <c r="H44" s="212"/>
    </row>
    <row r="45" spans="1:8" ht="14.45" customHeight="1">
      <c r="A45" s="35"/>
      <c r="B45" s="119"/>
      <c r="C45" s="126"/>
      <c r="D45" s="211"/>
      <c r="E45" s="211"/>
      <c r="F45" s="211"/>
      <c r="G45" s="211"/>
      <c r="H45" s="212"/>
    </row>
    <row r="46" spans="1:8">
      <c r="A46" s="35"/>
      <c r="B46" s="119"/>
      <c r="C46" s="126"/>
      <c r="D46" s="211"/>
      <c r="E46" s="211"/>
      <c r="F46" s="211"/>
      <c r="G46" s="211"/>
      <c r="H46" s="212"/>
    </row>
    <row r="47" spans="1:8">
      <c r="A47" s="38"/>
      <c r="C47" s="126"/>
      <c r="D47" s="211"/>
      <c r="E47" s="211"/>
      <c r="F47" s="211"/>
      <c r="G47" s="211"/>
      <c r="H47" s="212"/>
    </row>
    <row r="48" spans="1:8">
      <c r="A48" s="38"/>
      <c r="C48" s="126"/>
      <c r="D48" s="211"/>
      <c r="E48" s="211"/>
      <c r="F48" s="211"/>
      <c r="G48" s="211"/>
      <c r="H48" s="212"/>
    </row>
    <row r="49" spans="1:13">
      <c r="A49" s="38"/>
      <c r="B49" s="205"/>
      <c r="C49" s="206"/>
      <c r="D49" s="211"/>
      <c r="E49" s="211"/>
      <c r="F49" s="211"/>
      <c r="G49" s="211"/>
      <c r="H49" s="212"/>
    </row>
    <row r="50" spans="1:13">
      <c r="A50" s="38"/>
      <c r="D50" s="211"/>
      <c r="E50" s="211"/>
      <c r="F50" s="211"/>
      <c r="G50" s="211"/>
      <c r="H50" s="212"/>
      <c r="M50" t="s">
        <v>211</v>
      </c>
    </row>
    <row r="51" spans="1:13">
      <c r="A51" s="62" t="s">
        <v>199</v>
      </c>
      <c r="B51" s="63" t="s">
        <v>526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7" zoomScaleNormal="100" zoomScaleSheetLayoutView="100" zoomScalePageLayoutView="90" workbookViewId="0">
      <selection activeCell="M33" sqref="M33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1" t="s">
        <v>208</v>
      </c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0" t="s">
        <v>216</v>
      </c>
      <c r="D8" s="240"/>
      <c r="E8" s="240"/>
      <c r="F8" s="190">
        <v>2</v>
      </c>
      <c r="G8" s="118" t="s">
        <v>309</v>
      </c>
      <c r="H8" s="158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40"/>
      <c r="D9" s="240"/>
      <c r="E9" s="240"/>
      <c r="F9" s="190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89"/>
      <c r="C10" s="244"/>
      <c r="D10" s="244"/>
      <c r="E10" s="244"/>
      <c r="F10" s="193"/>
      <c r="G10" s="118"/>
      <c r="H10" s="39"/>
    </row>
    <row r="11" spans="1:8">
      <c r="A11" s="192"/>
      <c r="B11" s="196"/>
      <c r="C11" s="199">
        <f>SUM(F8:F10)</f>
        <v>2</v>
      </c>
      <c r="H11" s="39"/>
    </row>
    <row r="12" spans="1:8" ht="18.75">
      <c r="A12" s="75" t="s">
        <v>191</v>
      </c>
      <c r="B12" s="20">
        <f>КАГ!B8</f>
        <v>45498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0.83819444444444446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0.90277777777777779</v>
      </c>
      <c r="C14" s="12"/>
      <c r="D14" s="95" t="s">
        <v>173</v>
      </c>
      <c r="E14" s="93"/>
      <c r="F14" s="93"/>
      <c r="G14" s="80" t="str">
        <f>КАГ!G10</f>
        <v>Синицина И.А.</v>
      </c>
      <c r="H14" s="91" t="str">
        <f>IF(ISBLANK(КАГ!H10),"",КАГ!H10)</f>
        <v/>
      </c>
    </row>
    <row r="15" spans="1:8" ht="16.5" thickBot="1">
      <c r="A15" s="163" t="s">
        <v>387</v>
      </c>
      <c r="B15" s="188">
        <f>IF(B14&lt;B13,B14+1,B14)-B13</f>
        <v>6.4583333333333326E-2</v>
      </c>
      <c r="D15" s="95" t="s">
        <v>170</v>
      </c>
      <c r="E15" s="93"/>
      <c r="F15" s="93"/>
      <c r="G15" s="80" t="str">
        <f>КАГ!G11</f>
        <v>Чесноков С.Л.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1" t="str">
        <f>КАГ!B11</f>
        <v>Кисаримова Н.Н.</v>
      </c>
      <c r="C16" s="200">
        <f>LEN(КАГ!B11)</f>
        <v>15</v>
      </c>
      <c r="D16" s="95" t="s">
        <v>303</v>
      </c>
      <c r="E16" s="93"/>
      <c r="F16" s="93"/>
      <c r="G16" s="80" t="str">
        <f>КАГ!G12</f>
        <v>Фисура О.И.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22576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62</v>
      </c>
      <c r="H18" s="39"/>
    </row>
    <row r="19" spans="1:8" ht="14.45" customHeight="1">
      <c r="A19" s="15" t="s">
        <v>12</v>
      </c>
      <c r="B19" s="68">
        <f>КАГ!B14</f>
        <v>21299</v>
      </c>
      <c r="C19" s="69"/>
      <c r="D19" s="69"/>
      <c r="E19" s="69"/>
      <c r="F19" s="69"/>
      <c r="G19" s="165" t="s">
        <v>399</v>
      </c>
      <c r="H19" s="180" t="str">
        <f>КАГ!H15</f>
        <v>16:00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6" t="s">
        <v>402</v>
      </c>
      <c r="H20" s="181">
        <f>КАГ!H16</f>
        <v>5750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7" t="s">
        <v>388</v>
      </c>
      <c r="H21" s="168">
        <f>КАГ!H17</f>
        <v>10.925000000000001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4" t="str">
        <f>IF(B21=Вмешательства!F3,Вмешательства!F19,"")</f>
        <v>Реканализация:</v>
      </c>
      <c r="H22" s="185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0.84444444444444444</v>
      </c>
    </row>
    <row r="23" spans="1:8" ht="14.45" customHeight="1">
      <c r="A23" s="65" t="s">
        <v>391</v>
      </c>
      <c r="B23" s="172" t="s">
        <v>390</v>
      </c>
      <c r="C23" s="162"/>
      <c r="D23" s="162"/>
      <c r="E23" s="162"/>
      <c r="F23" s="162"/>
      <c r="H23" s="39"/>
    </row>
    <row r="24" spans="1:8" ht="14.45" customHeight="1">
      <c r="A24" s="183" t="s">
        <v>389</v>
      </c>
      <c r="B24" s="170"/>
      <c r="C24" s="170"/>
      <c r="D24" s="170"/>
      <c r="E24" s="170"/>
      <c r="F24" s="170"/>
      <c r="G24" s="170"/>
      <c r="H24" s="171"/>
    </row>
    <row r="25" spans="1:8" ht="14.45" customHeight="1">
      <c r="A25" s="248" t="s">
        <v>535</v>
      </c>
      <c r="B25" s="249"/>
      <c r="C25" s="249"/>
      <c r="D25" s="249"/>
      <c r="E25" s="249"/>
      <c r="F25" s="249"/>
      <c r="G25" s="249"/>
      <c r="H25" s="250"/>
    </row>
    <row r="26" spans="1:8" ht="14.45" customHeight="1">
      <c r="A26" s="251"/>
      <c r="B26" s="249"/>
      <c r="C26" s="249"/>
      <c r="D26" s="249"/>
      <c r="E26" s="249"/>
      <c r="F26" s="249"/>
      <c r="G26" s="249"/>
      <c r="H26" s="250"/>
    </row>
    <row r="27" spans="1:8" ht="14.45" customHeight="1">
      <c r="A27" s="251"/>
      <c r="B27" s="249"/>
      <c r="C27" s="249"/>
      <c r="D27" s="249"/>
      <c r="E27" s="249"/>
      <c r="F27" s="249"/>
      <c r="G27" s="249"/>
      <c r="H27" s="250"/>
    </row>
    <row r="28" spans="1:8" ht="14.45" customHeight="1">
      <c r="A28" s="251"/>
      <c r="B28" s="249"/>
      <c r="C28" s="249"/>
      <c r="D28" s="249"/>
      <c r="E28" s="249"/>
      <c r="F28" s="249"/>
      <c r="G28" s="249"/>
      <c r="H28" s="250"/>
    </row>
    <row r="29" spans="1:8" ht="14.45" customHeight="1">
      <c r="A29" s="251"/>
      <c r="B29" s="249"/>
      <c r="C29" s="249"/>
      <c r="D29" s="249"/>
      <c r="E29" s="249"/>
      <c r="F29" s="249"/>
      <c r="G29" s="249"/>
      <c r="H29" s="250"/>
    </row>
    <row r="30" spans="1:8" ht="14.45" customHeight="1">
      <c r="A30" s="251"/>
      <c r="B30" s="249"/>
      <c r="C30" s="249"/>
      <c r="D30" s="249"/>
      <c r="E30" s="249"/>
      <c r="F30" s="249"/>
      <c r="G30" s="249"/>
      <c r="H30" s="250"/>
    </row>
    <row r="31" spans="1:8" ht="14.45" customHeight="1">
      <c r="A31" s="251"/>
      <c r="B31" s="249"/>
      <c r="C31" s="249"/>
      <c r="D31" s="249"/>
      <c r="E31" s="249"/>
      <c r="F31" s="249"/>
      <c r="G31" s="249"/>
      <c r="H31" s="250"/>
    </row>
    <row r="32" spans="1:8" ht="14.45" customHeight="1">
      <c r="A32" s="251"/>
      <c r="B32" s="249"/>
      <c r="C32" s="249"/>
      <c r="D32" s="249"/>
      <c r="E32" s="249"/>
      <c r="F32" s="249"/>
      <c r="G32" s="249"/>
      <c r="H32" s="250"/>
    </row>
    <row r="33" spans="1:12" ht="14.45" customHeight="1">
      <c r="A33" s="251"/>
      <c r="B33" s="249"/>
      <c r="C33" s="249"/>
      <c r="D33" s="249"/>
      <c r="E33" s="249"/>
      <c r="F33" s="249"/>
      <c r="G33" s="249"/>
      <c r="H33" s="250"/>
    </row>
    <row r="34" spans="1:12" ht="14.45" customHeight="1">
      <c r="A34" s="251"/>
      <c r="B34" s="249"/>
      <c r="C34" s="249"/>
      <c r="D34" s="249"/>
      <c r="E34" s="249"/>
      <c r="F34" s="249"/>
      <c r="G34" s="249"/>
      <c r="H34" s="250"/>
    </row>
    <row r="35" spans="1:12" ht="14.45" customHeight="1">
      <c r="A35" s="251"/>
      <c r="B35" s="249"/>
      <c r="C35" s="249"/>
      <c r="D35" s="249"/>
      <c r="E35" s="249"/>
      <c r="F35" s="249"/>
      <c r="G35" s="249"/>
      <c r="H35" s="250"/>
    </row>
    <row r="36" spans="1:12" ht="14.45" customHeight="1">
      <c r="A36" s="251"/>
      <c r="B36" s="249"/>
      <c r="C36" s="249"/>
      <c r="D36" s="249"/>
      <c r="E36" s="249"/>
      <c r="F36" s="249"/>
      <c r="G36" s="249"/>
      <c r="H36" s="250"/>
    </row>
    <row r="37" spans="1:12" ht="14.45" customHeight="1">
      <c r="A37" s="251"/>
      <c r="B37" s="249"/>
      <c r="C37" s="249"/>
      <c r="D37" s="249"/>
      <c r="E37" s="249"/>
      <c r="F37" s="249"/>
      <c r="G37" s="249"/>
      <c r="H37" s="250"/>
    </row>
    <row r="38" spans="1:12" ht="14.45" customHeight="1">
      <c r="A38" s="177" t="s">
        <v>395</v>
      </c>
      <c r="B38" s="175"/>
      <c r="C38" s="176"/>
      <c r="D38" s="176"/>
      <c r="E38" s="186" t="str">
        <f>IF(A6=Вмешательства!D4,Вмешательства!V16,IF(ЧКВ!A6=Вмешательства!D36,Вмешательства!V16,"-----"))</f>
        <v>СТЕНТ/Ы</v>
      </c>
      <c r="F38" s="176"/>
      <c r="G38" s="179"/>
    </row>
    <row r="39" spans="1:12" ht="15.75">
      <c r="A39" s="173" t="s">
        <v>392</v>
      </c>
      <c r="B39" s="70" t="s">
        <v>394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4" t="s">
        <v>393</v>
      </c>
      <c r="B40" s="178" t="s">
        <v>526</v>
      </c>
      <c r="C40" s="120"/>
      <c r="D40" s="245" t="s">
        <v>400</v>
      </c>
      <c r="E40" s="246"/>
      <c r="F40" s="246"/>
      <c r="G40" s="246"/>
      <c r="H40" s="247"/>
    </row>
    <row r="41" spans="1:12" ht="14.45" customHeight="1">
      <c r="A41" s="32"/>
      <c r="B41" s="28"/>
      <c r="C41" s="120"/>
      <c r="D41" s="246"/>
      <c r="E41" s="246"/>
      <c r="F41" s="246"/>
      <c r="G41" s="246"/>
      <c r="H41" s="247"/>
    </row>
    <row r="42" spans="1:12" ht="14.45" customHeight="1">
      <c r="A42" s="32"/>
      <c r="B42" s="28"/>
      <c r="C42" s="120"/>
      <c r="D42" s="246"/>
      <c r="E42" s="246"/>
      <c r="F42" s="246"/>
      <c r="G42" s="246"/>
      <c r="H42" s="247"/>
    </row>
    <row r="43" spans="1:12" ht="14.45" customHeight="1">
      <c r="A43" s="32"/>
      <c r="B43" s="28"/>
      <c r="C43" s="120"/>
      <c r="D43" s="246"/>
      <c r="E43" s="246"/>
      <c r="F43" s="246"/>
      <c r="G43" s="246"/>
      <c r="H43" s="247"/>
    </row>
    <row r="44" spans="1:12" ht="14.45" customHeight="1">
      <c r="A44" s="32"/>
      <c r="B44" s="28"/>
      <c r="C44" s="120"/>
      <c r="D44" s="246"/>
      <c r="E44" s="246"/>
      <c r="F44" s="246"/>
      <c r="G44" s="246"/>
      <c r="H44" s="247"/>
      <c r="L44" s="160"/>
    </row>
    <row r="45" spans="1:12" ht="14.45" customHeight="1">
      <c r="A45" s="32"/>
      <c r="B45" s="28"/>
      <c r="C45" s="120"/>
      <c r="D45" s="246"/>
      <c r="E45" s="246"/>
      <c r="F45" s="246"/>
      <c r="G45" s="246"/>
      <c r="H45" s="247"/>
    </row>
    <row r="46" spans="1:12" ht="14.45" customHeight="1">
      <c r="A46" s="32"/>
      <c r="B46" s="28"/>
      <c r="C46" s="120"/>
      <c r="D46" s="246"/>
      <c r="E46" s="246"/>
      <c r="F46" s="246"/>
      <c r="G46" s="246"/>
      <c r="H46" s="247"/>
    </row>
    <row r="47" spans="1:12" ht="14.45" customHeight="1">
      <c r="A47" s="38"/>
      <c r="C47" s="120"/>
      <c r="D47" s="246"/>
      <c r="E47" s="246"/>
      <c r="F47" s="246"/>
      <c r="G47" s="246"/>
      <c r="H47" s="247"/>
    </row>
    <row r="48" spans="1:12" ht="14.45" customHeight="1">
      <c r="A48" s="38"/>
      <c r="C48" s="120"/>
      <c r="D48" s="246"/>
      <c r="E48" s="246"/>
      <c r="F48" s="246"/>
      <c r="G48" s="246"/>
      <c r="H48" s="247"/>
    </row>
    <row r="49" spans="1:8" ht="14.45" customHeight="1">
      <c r="A49" s="38"/>
      <c r="C49" s="120"/>
      <c r="D49" s="246"/>
      <c r="E49" s="246"/>
      <c r="F49" s="246"/>
      <c r="G49" s="246"/>
      <c r="H49" s="247"/>
    </row>
    <row r="50" spans="1:8">
      <c r="A50" s="62" t="s">
        <v>199</v>
      </c>
      <c r="B50" s="63" t="s">
        <v>525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1" t="s">
        <v>371</v>
      </c>
      <c r="B52" s="232"/>
      <c r="C52" s="232"/>
      <c r="D52" s="232"/>
      <c r="E52" s="232"/>
      <c r="F52" s="233"/>
      <c r="H52" s="39"/>
    </row>
    <row r="53" spans="1:8" ht="15" customHeight="1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>
      <c r="A54" s="237"/>
      <c r="B54" s="238"/>
      <c r="C54" s="238"/>
      <c r="D54" s="238"/>
      <c r="E54" s="238"/>
      <c r="F54" s="239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B18" sqref="B18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45498</v>
      </c>
      <c r="C2" s="152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7" t="s">
        <v>195</v>
      </c>
      <c r="B4" s="148" t="s">
        <v>105</v>
      </c>
      <c r="C4" s="149" t="s">
        <v>15</v>
      </c>
      <c r="D4" s="204" t="str">
        <f>КАГ!$B$11</f>
        <v>Кисаримова Н.Н.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22576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4" t="str">
        <f>ЧКВ!A6</f>
        <v xml:space="preserve">Транслюминальная баллонная ангиопластика и стентирование коронарных артерий. </v>
      </c>
      <c r="C6" s="131" t="s">
        <v>10</v>
      </c>
      <c r="D6" s="103">
        <f>DATEDIF(D5,D10,"y")</f>
        <v>62</v>
      </c>
    </row>
    <row r="7" spans="1:4">
      <c r="A7" s="38"/>
      <c r="C7" s="101" t="s">
        <v>12</v>
      </c>
      <c r="D7" s="103">
        <f>КАГ!$B$14</f>
        <v>21299</v>
      </c>
    </row>
    <row r="8" spans="1:4">
      <c r="A8" s="194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4" t="str">
        <f>ЧКВ!$A$10</f>
        <v>Код метода: 46</v>
      </c>
      <c r="C9" s="105" t="s">
        <v>106</v>
      </c>
      <c r="D9" s="103" t="str">
        <f>КАГ!$B$16</f>
        <v>ОКС с ↑ ST</v>
      </c>
    </row>
    <row r="10" spans="1:4">
      <c r="A10" s="195"/>
      <c r="B10" s="31"/>
      <c r="C10" s="150" t="s">
        <v>13</v>
      </c>
      <c r="D10" s="151">
        <f>КАГ!$B$8</f>
        <v>45498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3" t="s">
        <v>306</v>
      </c>
      <c r="C13" s="187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4" t="s">
        <v>331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4" t="s">
        <v>315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4" t="s">
        <v>375</v>
      </c>
      <c r="C16" s="135" t="s">
        <v>407</v>
      </c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4" t="s">
        <v>516</v>
      </c>
      <c r="C17" s="135" t="s">
        <v>426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8" s="154" t="s">
        <v>370</v>
      </c>
      <c r="C18" s="135"/>
      <c r="D18" s="140">
        <v>1</v>
      </c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4" t="s">
        <v>519</v>
      </c>
      <c r="C19" s="182" t="s">
        <v>529</v>
      </c>
      <c r="D19" s="140">
        <v>1</v>
      </c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55" t="s">
        <v>520</v>
      </c>
      <c r="C20" s="135" t="s">
        <v>530</v>
      </c>
      <c r="D20" s="140">
        <v>1</v>
      </c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4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4"/>
      <c r="C22" s="135"/>
      <c r="D22" s="142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35"/>
      <c r="D23" s="142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35"/>
      <c r="D24" s="142"/>
    </row>
    <row r="25" spans="1:4" ht="27.75" customHeight="1">
      <c r="A25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6"/>
      <c r="C25" s="145"/>
      <c r="D25" s="146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518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487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486</v>
      </c>
      <c r="G3" s="3" t="s">
        <v>487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487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401</v>
      </c>
      <c r="F5" t="s">
        <v>131</v>
      </c>
      <c r="G5" s="3" t="s">
        <v>487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487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487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487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487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488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486</v>
      </c>
      <c r="G13" s="3" t="s">
        <v>488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488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488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489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504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E11" sqref="AE11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501</v>
      </c>
      <c r="AN1" s="2" t="s">
        <v>495</v>
      </c>
      <c r="AO1" t="s">
        <v>357</v>
      </c>
      <c r="AP1" s="159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0</v>
      </c>
      <c r="L2" s="116">
        <f>IF(ISNUMBER(SEARCH('Карта учёта'!$B$20,Расходка[[#This Row],[Наименование расходного материала]])),MAX($L$1:L1)+1,0)</f>
        <v>0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5" t="str">
        <f>IFERROR(INDEX(Расходка[Наименование расходного материала],MATCH(Расходка[[#This Row],[№]],Поиск_расходки[Индекс3],0)),"")</f>
        <v>Fielder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NC АКСИОМА</v>
      </c>
      <c r="W2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2" s="115" t="str">
        <f>IFERROR(INDEX(Расходка[Наименование расходного материала],MATCH(Расходка[[#This Row],[№]],Поиск_расходки[Индекс7],0)),"")</f>
        <v>DES, Калипсо</v>
      </c>
      <c r="Y2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403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7">
        <v>155800</v>
      </c>
      <c r="AN2" s="208" t="s">
        <v>309</v>
      </c>
      <c r="AO2" s="209" t="s">
        <v>497</v>
      </c>
      <c r="AP2" s="128"/>
    </row>
    <row r="3" spans="1:42">
      <c r="A3"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1</v>
      </c>
      <c r="K3" s="116">
        <f>IF(ISNUMBER(SEARCH('Карта учёта'!$B$19,Расходка[[#This Row],[Наименование расходного материала]])),MAX($K$1:K2)+1,0)</f>
        <v>0</v>
      </c>
      <c r="L3" s="116">
        <f>IF(ISNUMBER(SEARCH('Карта учёта'!$B$20,Расходка[[#This Row],[Наименование расходного материала]])),MAX($L$1:L2)+1,0)</f>
        <v>0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>Fielder XT-A</v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404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9">
        <v>218190</v>
      </c>
      <c r="AN3" s="2" t="s">
        <v>490</v>
      </c>
      <c r="AO3" t="s">
        <v>498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0</v>
      </c>
      <c r="L4" s="116">
        <f>IF(ISNUMBER(SEARCH('Карта учёта'!$B$20,Расходка[[#This Row],[Наименование расходного материала]])),MAX($L$1:L3)+1,0)</f>
        <v>0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>Fielder XT-R</v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405</v>
      </c>
      <c r="AI4" t="s">
        <v>190</v>
      </c>
      <c r="AJ4" t="s">
        <v>201</v>
      </c>
      <c r="AK4" t="str">
        <f t="shared" si="0"/>
        <v>Контраст: Оптирей 350</v>
      </c>
      <c r="AM4" s="189">
        <v>337440</v>
      </c>
      <c r="AN4" s="2" t="s">
        <v>503</v>
      </c>
      <c r="AO4" t="s">
        <v>500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0</v>
      </c>
      <c r="L5" s="116">
        <f>IF(ISNUMBER(SEARCH('Карта учёта'!$B$20,Расходка[[#This Row],[Наименование расходного материала]])),MAX($L$1:L4)+1,0)</f>
        <v>0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406</v>
      </c>
      <c r="AI5" t="s">
        <v>190</v>
      </c>
      <c r="AJ5" t="s">
        <v>202</v>
      </c>
      <c r="AK5" t="str">
        <f t="shared" si="0"/>
        <v>Контраст: Юнигексол 350</v>
      </c>
      <c r="AM5" s="207">
        <v>136170</v>
      </c>
      <c r="AN5" s="208"/>
      <c r="AO5" s="209" t="s">
        <v>499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0</v>
      </c>
      <c r="L6" s="116">
        <f>IF(ISNUMBER(SEARCH('Карта учёта'!$B$20,Расходка[[#This Row],[Наименование расходного материала]])),MAX($L$1:L5)+1,0)</f>
        <v>0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407</v>
      </c>
      <c r="AI6" t="s">
        <v>190</v>
      </c>
      <c r="AJ6" t="s">
        <v>203</v>
      </c>
      <c r="AK6" t="str">
        <f t="shared" si="0"/>
        <v>Контраст: Сканлюкс 370</v>
      </c>
      <c r="AM6" s="189">
        <v>135820</v>
      </c>
      <c r="AN6" s="2"/>
      <c r="AO6" t="s">
        <v>502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0</v>
      </c>
      <c r="L7" s="116">
        <f>IF(ISNUMBER(SEARCH('Карта учёта'!$B$20,Расходка[[#This Row],[Наименование расходного материала]])),MAX($L$1:L6)+1,0)</f>
        <v>0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408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7">
        <v>155760</v>
      </c>
      <c r="AN7" s="208"/>
      <c r="AO7" s="209" t="s">
        <v>496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0</v>
      </c>
      <c r="L8" s="116">
        <f>IF(ISNUMBER(SEARCH('Карта учёта'!$B$20,Расходка[[#This Row],[Наименование расходного материала]])),MAX($L$1:L7)+1,0)</f>
        <v>0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409</v>
      </c>
      <c r="AI8" t="s">
        <v>190</v>
      </c>
      <c r="AJ8" t="s">
        <v>205</v>
      </c>
      <c r="AK8" t="str">
        <f t="shared" si="1"/>
        <v>Контраст: Визипак 320</v>
      </c>
      <c r="AM8" s="189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0</v>
      </c>
      <c r="L9" s="116">
        <f>IF(ISNUMBER(SEARCH('Карта учёта'!$B$20,Расходка[[#This Row],[Наименование расходного материала]])),MAX($L$1:L8)+1,0)</f>
        <v>0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410</v>
      </c>
      <c r="AM9" s="189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0</v>
      </c>
      <c r="K10" s="116">
        <f>IF(ISNUMBER(SEARCH('Карта учёта'!$B$19,Расходка[[#This Row],[Наименование расходного материала]])),MAX($K$1:K9)+1,0)</f>
        <v>0</v>
      </c>
      <c r="L10" s="116">
        <f>IF(ISNUMBER(SEARCH('Карта учёта'!$B$20,Расходка[[#This Row],[Наименование расходного материала]])),MAX($L$1:L9)+1,0)</f>
        <v>0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411</v>
      </c>
      <c r="AI10" t="s">
        <v>356</v>
      </c>
      <c r="AM10" s="189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398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учёта'!$B$17,Расходка[[#This Row],[Наименование расходного материала]])),MAX($I$1:I10)+1,0)</f>
        <v>0</v>
      </c>
      <c r="J11" s="116">
        <f>IF(ISNUMBER(SEARCH('Карта учёта'!$B$18,Расходка[[#This Row],[Наименование расходного материала]])),MAX($J$1:J10)+1,0)</f>
        <v>0</v>
      </c>
      <c r="K11" s="116">
        <f>IF(ISNUMBER(SEARCH('Карта учёта'!$B$19,Расходка[[#This Row],[Наименование расходного материала]])),MAX($K$1:K10)+1,0)</f>
        <v>0</v>
      </c>
      <c r="L11" s="116">
        <f>IF(ISNUMBER(SEARCH('Карта учёта'!$B$20,Расходка[[#This Row],[Наименование расходного материала]])),MAX($L$1:L10)+1,0)</f>
        <v>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412</v>
      </c>
      <c r="AI11" t="s">
        <v>4</v>
      </c>
      <c r="AM11" s="189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516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1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0</v>
      </c>
      <c r="L12" s="116">
        <f>IF(ISNUMBER(SEARCH('Карта учёта'!$B$20,Расходка[[#This Row],[Наименование расходного материала]])),MAX($L$1:L11)+1,0)</f>
        <v>0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413</v>
      </c>
      <c r="AI12" t="s">
        <v>3</v>
      </c>
      <c r="AM12" s="189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0</v>
      </c>
      <c r="L13" s="116">
        <f>IF(ISNUMBER(SEARCH('Карта учёта'!$B$20,Расходка[[#This Row],[Наименование расходного материала]])),MAX($L$1:L12)+1,0)</f>
        <v>0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414</v>
      </c>
      <c r="AI13" t="s">
        <v>6</v>
      </c>
      <c r="AN13" s="2"/>
    </row>
    <row r="14" spans="1:42">
      <c r="A14"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0</v>
      </c>
      <c r="L14" s="116">
        <f>IF(ISNUMBER(SEARCH('Карта учёта'!$B$20,Расходка[[#This Row],[Наименование расходного материала]])),MAX($L$1:L13)+1,0)</f>
        <v>0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493</v>
      </c>
      <c r="AI14" t="s">
        <v>5</v>
      </c>
      <c r="AM14" s="189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0</v>
      </c>
      <c r="L15" s="116">
        <f>IF(ISNUMBER(SEARCH('Карта учёта'!$B$20,Расходка[[#This Row],[Наименование расходного материала]])),MAX($L$1:L14)+1,0)</f>
        <v>0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415</v>
      </c>
      <c r="AI15" t="s">
        <v>94</v>
      </c>
    </row>
    <row r="16" spans="1:42">
      <c r="A16"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0</v>
      </c>
      <c r="L16" s="116">
        <f>IF(ISNUMBER(SEARCH('Карта учёта'!$B$20,Расходка[[#This Row],[Наименование расходного материала]])),MAX($L$1:L15)+1,0)</f>
        <v>0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416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0</v>
      </c>
      <c r="L17" s="116">
        <f>IF(ISNUMBER(SEARCH('Карта учёта'!$B$20,Расходка[[#This Row],[Наименование расходного материала]])),MAX($L$1:L16)+1,0)</f>
        <v>0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417</v>
      </c>
      <c r="AI17" t="s">
        <v>206</v>
      </c>
    </row>
    <row r="18" spans="1:35">
      <c r="A18"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0</v>
      </c>
      <c r="L18" s="116">
        <f>IF(ISNUMBER(SEARCH('Карта учёта'!$B$20,Расходка[[#This Row],[Наименование расходного материала]])),MAX($L$1:L17)+1,0)</f>
        <v>0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418</v>
      </c>
      <c r="AI18" t="s">
        <v>95</v>
      </c>
    </row>
    <row r="19" spans="1:35">
      <c r="A19"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0</v>
      </c>
      <c r="L19" s="116">
        <f>IF(ISNUMBER(SEARCH('Карта учёта'!$B$20,Расходка[[#This Row],[Наименование расходного материала]])),MAX($L$1:L18)+1,0)</f>
        <v>0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419</v>
      </c>
      <c r="AI19" t="s">
        <v>301</v>
      </c>
    </row>
    <row r="20" spans="1:35">
      <c r="A20">
        <v>19</v>
      </c>
      <c r="B20" t="s">
        <v>306</v>
      </c>
      <c r="C20" t="s">
        <v>506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0</v>
      </c>
      <c r="L20" s="116">
        <f>IF(ISNUMBER(SEARCH('Карта учёта'!$B$20,Расходка[[#This Row],[Наименование расходного материала]])),MAX($L$1:L19)+1,0)</f>
        <v>0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420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0</v>
      </c>
      <c r="L21" s="116">
        <f>IF(ISNUMBER(SEARCH('Карта учёта'!$B$20,Расходка[[#This Row],[Наименование расходного материала]])),MAX($L$1:L20)+1,0)</f>
        <v>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421</v>
      </c>
    </row>
    <row r="22" spans="1:35">
      <c r="A22">
        <v>21</v>
      </c>
      <c r="B22" t="s">
        <v>306</v>
      </c>
      <c r="C22" s="1" t="s">
        <v>509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0</v>
      </c>
      <c r="L22" s="116">
        <f>IF(ISNUMBER(SEARCH('Карта учёта'!$B$20,Расходка[[#This Row],[Наименование расходного материала]])),MAX($L$1:L21)+1,0)</f>
        <v>0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422</v>
      </c>
    </row>
    <row r="23" spans="1:35">
      <c r="A23">
        <v>22</v>
      </c>
      <c r="B23" t="s">
        <v>306</v>
      </c>
      <c r="C23" s="1" t="s">
        <v>511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0</v>
      </c>
      <c r="L23" s="116">
        <f>IF(ISNUMBER(SEARCH('Карта учёта'!$B$20,Расходка[[#This Row],[Наименование расходного материала]])),MAX($L$1:L22)+1,0)</f>
        <v>0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423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0</v>
      </c>
      <c r="L24" s="116">
        <f>IF(ISNUMBER(SEARCH('Карта учёта'!$B$20,Расходка[[#This Row],[Наименование расходного материала]])),MAX($L$1:L23)+1,0)</f>
        <v>0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424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0</v>
      </c>
      <c r="L25" s="116">
        <f>IF(ISNUMBER(SEARCH('Карта учёта'!$B$20,Расходка[[#This Row],[Наименование расходного материала]])),MAX($L$1:L24)+1,0)</f>
        <v>0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425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0</v>
      </c>
      <c r="L26" s="116">
        <f>IF(ISNUMBER(SEARCH('Карта учёта'!$B$20,Расходка[[#This Row],[Наименование расходного материала]])),MAX($L$1:L25)+1,0)</f>
        <v>0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426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1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0</v>
      </c>
      <c r="L27" s="116">
        <f>IF(ISNUMBER(SEARCH('Карта учёта'!$B$20,Расходка[[#This Row],[Наименование расходного материала]])),MAX($L$1:L26)+1,0)</f>
        <v>0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427</v>
      </c>
    </row>
    <row r="28" spans="1:35">
      <c r="A28"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2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0</v>
      </c>
      <c r="L28" s="116">
        <f>IF(ISNUMBER(SEARCH('Карта учёта'!$B$20,Расходка[[#This Row],[Наименование расходного материала]])),MAX($L$1:L27)+1,0)</f>
        <v>0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428</v>
      </c>
    </row>
    <row r="29" spans="1:35">
      <c r="A29"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3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0</v>
      </c>
      <c r="L29" s="116">
        <f>IF(ISNUMBER(SEARCH('Карта учёта'!$B$20,Расходка[[#This Row],[Наименование расходного материала]])),MAX($L$1:L28)+1,0)</f>
        <v>0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429</v>
      </c>
    </row>
    <row r="30" spans="1:35">
      <c r="A30">
        <v>29</v>
      </c>
      <c r="B30" t="s">
        <v>3</v>
      </c>
      <c r="C30" t="s">
        <v>513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0</v>
      </c>
      <c r="L30" s="116">
        <f>IF(ISNUMBER(SEARCH('Карта учёта'!$B$20,Расходка[[#This Row],[Наименование расходного материала]])),MAX($L$1:L29)+1,0)</f>
        <v>0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491</v>
      </c>
    </row>
    <row r="31" spans="1:35">
      <c r="A31">
        <v>30</v>
      </c>
      <c r="B31" t="s">
        <v>3</v>
      </c>
      <c r="C31" s="1" t="s">
        <v>514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0</v>
      </c>
      <c r="L31" s="116">
        <f>IF(ISNUMBER(SEARCH('Карта учёта'!$B$20,Расходка[[#This Row],[Наименование расходного материала]])),MAX($L$1:L30)+1,0)</f>
        <v>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430</v>
      </c>
    </row>
    <row r="32" spans="1:35">
      <c r="A32">
        <v>31</v>
      </c>
      <c r="B32" t="s">
        <v>3</v>
      </c>
      <c r="C32" s="1" t="s">
        <v>515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0</v>
      </c>
      <c r="L32" s="116">
        <f>IF(ISNUMBER(SEARCH('Карта учёта'!$B$20,Расходка[[#This Row],[Наименование расходного материала]])),MAX($L$1:L31)+1,0)</f>
        <v>0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431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0</v>
      </c>
      <c r="L33" s="116">
        <f>IF(ISNUMBER(SEARCH('Карта учёта'!$B$20,Расходка[[#This Row],[Наименование расходного материала]])),MAX($L$1:L32)+1,0)</f>
        <v>0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432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0</v>
      </c>
      <c r="L34" s="116">
        <f>IF(ISNUMBER(SEARCH('Карта учёта'!$B$20,Расходка[[#This Row],[Наименование расходного материала]])),MAX($L$1:L33)+1,0)</f>
        <v>0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433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0</v>
      </c>
      <c r="L35" s="116">
        <f>IF(ISNUMBER(SEARCH('Карта учёта'!$B$20,Расходка[[#This Row],[Наименование расходного материала]])),MAX($L$1:L34)+1,0)</f>
        <v>0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492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0</v>
      </c>
      <c r="L36" s="116">
        <f>IF(ISNUMBER(SEARCH('Карта учёта'!$B$20,Расходка[[#This Row],[Наименование расходного материала]])),MAX($L$1:L35)+1,0)</f>
        <v>0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434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0</v>
      </c>
      <c r="L37" s="116">
        <f>IF(ISNUMBER(SEARCH('Карта учёта'!$B$20,Расходка[[#This Row],[Наименование расходного материала]])),MAX($L$1:L36)+1,0)</f>
        <v>0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407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0</v>
      </c>
      <c r="L38" s="116">
        <f>IF(ISNUMBER(SEARCH('Карта учёта'!$B$20,Расходка[[#This Row],[Наименование расходного материала]])),MAX($L$1:L37)+1,0)</f>
        <v>0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494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0</v>
      </c>
      <c r="L39" s="116">
        <f>IF(ISNUMBER(SEARCH('Карта учёта'!$B$20,Расходка[[#This Row],[Наименование расходного материала]])),MAX($L$1:L38)+1,0)</f>
        <v>0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435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0</v>
      </c>
      <c r="L40" s="116">
        <f>IF(ISNUMBER(SEARCH('Карта учёта'!$B$20,Расходка[[#This Row],[Наименование расходного материала]])),MAX($L$1:L39)+1,0)</f>
        <v>0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436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0</v>
      </c>
      <c r="L41" s="116">
        <f>IF(ISNUMBER(SEARCH('Карта учёта'!$B$20,Расходка[[#This Row],[Наименование расходного материала]])),MAX($L$1:L40)+1,0)</f>
        <v>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437</v>
      </c>
    </row>
    <row r="42" spans="1:33">
      <c r="A42"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0</v>
      </c>
      <c r="L42" s="116">
        <f>IF(ISNUMBER(SEARCH('Карта учёта'!$B$20,Расходка[[#This Row],[Наименование расходного материала]])),MAX($L$1:L41)+1,0)</f>
        <v>0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438</v>
      </c>
    </row>
    <row r="43" spans="1:33">
      <c r="A43"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0</v>
      </c>
      <c r="L43" s="116">
        <f>IF(ISNUMBER(SEARCH('Карта учёта'!$B$20,Расходка[[#This Row],[Наименование расходного материала]])),MAX($L$1:L42)+1,0)</f>
        <v>0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411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0</v>
      </c>
      <c r="L44" s="116">
        <f>IF(ISNUMBER(SEARCH('Карта учёта'!$B$20,Расходка[[#This Row],[Наименование расходного материала]])),MAX($L$1:L43)+1,0)</f>
        <v>0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439</v>
      </c>
    </row>
    <row r="45" spans="1:33">
      <c r="A45">
        <v>44</v>
      </c>
      <c r="B45" t="s">
        <v>3</v>
      </c>
      <c r="C45" t="s">
        <v>523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0</v>
      </c>
      <c r="L45" s="116">
        <f>IF(ISNUMBER(SEARCH('Карта учёта'!$B$20,Расходка[[#This Row],[Наименование расходного материала]])),MAX($L$1:L44)+1,0)</f>
        <v>0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440</v>
      </c>
    </row>
    <row r="46" spans="1:33">
      <c r="A46">
        <v>45</v>
      </c>
      <c r="B46" t="s">
        <v>3</v>
      </c>
      <c r="C46" t="s">
        <v>524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0</v>
      </c>
      <c r="L46" s="116">
        <f>IF(ISNUMBER(SEARCH('Карта учёта'!$B$20,Расходка[[#This Row],[Наименование расходного материала]])),MAX($L$1:L45)+1,0)</f>
        <v>0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441</v>
      </c>
    </row>
    <row r="47" spans="1:33">
      <c r="A47">
        <v>46</v>
      </c>
      <c r="B47" t="s">
        <v>3</v>
      </c>
      <c r="C47" t="s">
        <v>362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0</v>
      </c>
      <c r="L47" s="116">
        <f>IF(ISNUMBER(SEARCH('Карта учёта'!$B$20,Расходка[[#This Row],[Наименование расходного материала]])),MAX($L$1:L46)+1,0)</f>
        <v>0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Winn 200T</v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442</v>
      </c>
    </row>
    <row r="48" spans="1:33">
      <c r="A48">
        <v>47</v>
      </c>
      <c r="B48" t="s">
        <v>3</v>
      </c>
      <c r="C48" t="s">
        <v>347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0</v>
      </c>
      <c r="L48" s="116">
        <f>IF(ISNUMBER(SEARCH('Карта учёта'!$B$20,Расходка[[#This Row],[Наименование расходного материала]])),MAX($L$1:L47)+1,0)</f>
        <v>0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443</v>
      </c>
    </row>
    <row r="49" spans="1:33">
      <c r="A49">
        <v>48</v>
      </c>
      <c r="B49" t="s">
        <v>3</v>
      </c>
      <c r="C49" t="s">
        <v>512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0</v>
      </c>
      <c r="L49" s="116">
        <f>IF(ISNUMBER(SEARCH('Карта учёта'!$B$20,Расходка[[#This Row],[Наименование расходного материала]])),MAX($L$1:L48)+1,0)</f>
        <v>0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444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0</v>
      </c>
      <c r="L50" s="116">
        <f>IF(ISNUMBER(SEARCH('Карта учёта'!$B$20,Расходка[[#This Row],[Наименование расходного материала]])),MAX($L$1:L49)+1,0)</f>
        <v>0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445</v>
      </c>
    </row>
    <row r="51" spans="1:33">
      <c r="A51">
        <v>50</v>
      </c>
      <c r="B51" t="s">
        <v>3</v>
      </c>
      <c r="C51" t="s">
        <v>510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0</v>
      </c>
      <c r="L51" s="116">
        <f>IF(ISNUMBER(SEARCH('Карта учёта'!$B$20,Расходка[[#This Row],[Наименование расходного материала]])),MAX($L$1:L50)+1,0)</f>
        <v>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446</v>
      </c>
    </row>
    <row r="52" spans="1:33">
      <c r="A52">
        <v>51</v>
      </c>
      <c r="B52" t="s">
        <v>3</v>
      </c>
      <c r="C52" t="s">
        <v>521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0</v>
      </c>
      <c r="L52" s="116">
        <f>IF(ISNUMBER(SEARCH('Карта учёта'!$B$20,Расходка[[#This Row],[Наименование расходного материала]])),MAX($L$1:L51)+1,0)</f>
        <v>0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Shunmei</v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447</v>
      </c>
    </row>
    <row r="53" spans="1:33">
      <c r="A53">
        <v>52</v>
      </c>
      <c r="B53" t="s">
        <v>6</v>
      </c>
      <c r="C53" s="1" t="s">
        <v>278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0</v>
      </c>
      <c r="L53" s="116">
        <f>IF(ISNUMBER(SEARCH('Карта учёта'!$B$20,Расходка[[#This Row],[Наименование расходного материала]])),MAX($L$1:L52)+1,0)</f>
        <v>0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3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3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3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3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3" s="4" t="s">
        <v>6</v>
      </c>
      <c r="AG53" s="4" t="s">
        <v>448</v>
      </c>
    </row>
    <row r="54" spans="1:33">
      <c r="A54">
        <v>53</v>
      </c>
      <c r="B54" t="s">
        <v>6</v>
      </c>
      <c r="C54" s="157" t="s">
        <v>346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0</v>
      </c>
      <c r="L54" s="116">
        <f>IF(ISNUMBER(SEARCH('Карта учёта'!$B$20,Расходка[[#This Row],[Наименование расходного материала]])),MAX($L$1:L53)+1,0)</f>
        <v>0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DES, Calipso</v>
      </c>
      <c r="AA54" s="115" t="str">
        <f>IFERROR(INDEX(Расходка[Наименование расходного материала],MATCH(Расходка[[#This Row],[№]],Поиск_расходки[Индекс10],0)),"")</f>
        <v>DES, Calipso</v>
      </c>
      <c r="AB54" s="115" t="str">
        <f>IFERROR(INDEX(Расходка[Наименование расходного материала],MATCH(Расходка[[#This Row],[№]],Поиск_расходки[Индекс11],0)),"")</f>
        <v>DES, Calipso</v>
      </c>
      <c r="AC54" s="115" t="str">
        <f>IFERROR(INDEX(Расходка[Наименование расходного материала],MATCH(Расходка[[#This Row],[№]],Поиск_расходки[Индекс12],0)),"")</f>
        <v>DES, Calipso</v>
      </c>
      <c r="AD54" s="115" t="str">
        <f>IFERROR(INDEX(Расходка[Наименование расходного материала],MATCH(Расходка[[#This Row],[№]],Поиск_расходки[Индекс13],0)),"")</f>
        <v>DES, Calipso</v>
      </c>
      <c r="AF54" s="4" t="s">
        <v>6</v>
      </c>
      <c r="AG54" s="4" t="s">
        <v>449</v>
      </c>
    </row>
    <row r="55" spans="1:33">
      <c r="A55">
        <v>54</v>
      </c>
      <c r="B55" t="s">
        <v>6</v>
      </c>
      <c r="C55" s="157" t="s">
        <v>345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0</v>
      </c>
      <c r="L55" s="116">
        <f>IF(ISNUMBER(SEARCH('Карта учёта'!$B$20,Расходка[[#This Row],[Наименование расходного материала]])),MAX($L$1:L54)+1,0)</f>
        <v>0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DES, NanoMed</v>
      </c>
      <c r="AA55" s="115" t="str">
        <f>IFERROR(INDEX(Расходка[Наименование расходного материала],MATCH(Расходка[[#This Row],[№]],Поиск_расходки[Индекс10],0)),"")</f>
        <v>DES, NanoMed</v>
      </c>
      <c r="AB55" s="115" t="str">
        <f>IFERROR(INDEX(Расходка[Наименование расходного материала],MATCH(Расходка[[#This Row],[№]],Поиск_расходки[Индекс11],0)),"")</f>
        <v>DES, NanoMed</v>
      </c>
      <c r="AC55" s="115" t="str">
        <f>IFERROR(INDEX(Расходка[Наименование расходного материала],MATCH(Расходка[[#This Row],[№]],Поиск_расходки[Индекс12],0)),"")</f>
        <v>DES, NanoMed</v>
      </c>
      <c r="AD55" s="115" t="str">
        <f>IFERROR(INDEX(Расходка[Наименование расходного материала],MATCH(Расходка[[#This Row],[№]],Поиск_расходки[Индекс13],0)),"")</f>
        <v>DES, NanoMed</v>
      </c>
      <c r="AF55" s="4" t="s">
        <v>6</v>
      </c>
      <c r="AG55" s="4" t="s">
        <v>450</v>
      </c>
    </row>
    <row r="56" spans="1:33">
      <c r="A56">
        <v>55</v>
      </c>
      <c r="B56" t="s">
        <v>6</v>
      </c>
      <c r="C56" s="130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0</v>
      </c>
      <c r="K56" s="116">
        <f>IF(ISNUMBER(SEARCH('Карта учёта'!$B$19,Расходка[[#This Row],[Наименование расходного материала]])),MAX($K$1:K55)+1,0)</f>
        <v>0</v>
      </c>
      <c r="L56" s="116">
        <f>IF(ISNUMBER(SEARCH('Карта учёта'!$B$20,Расходка[[#This Row],[Наименование расходного материала]])),MAX($L$1:L55)+1,0)</f>
        <v>0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6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6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6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6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6" s="4" t="s">
        <v>6</v>
      </c>
      <c r="AG56" s="4" t="s">
        <v>451</v>
      </c>
    </row>
    <row r="57" spans="1:33">
      <c r="A57">
        <v>56</v>
      </c>
      <c r="B57" t="s">
        <v>6</v>
      </c>
      <c r="C57" t="s">
        <v>358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0</v>
      </c>
      <c r="L57" s="116">
        <f>IF(ISNUMBER(SEARCH('Карта учёта'!$B$20,Расходка[[#This Row],[Наименование расходного материала]])),MAX($L$1:L56)+1,0)</f>
        <v>0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7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7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7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7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7" s="4" t="s">
        <v>6</v>
      </c>
      <c r="AG57" s="4" t="s">
        <v>452</v>
      </c>
    </row>
    <row r="58" spans="1:33">
      <c r="A58">
        <v>57</v>
      </c>
      <c r="B58" t="s">
        <v>6</v>
      </c>
      <c r="C58" s="161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0</v>
      </c>
      <c r="L58" s="116">
        <f>IF(ISNUMBER(SEARCH('Карта учёта'!$B$20,Расходка[[#This Row],[Наименование расходного материала]])),MAX($L$1:L57)+1,0)</f>
        <v>0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DES, Firehawk</v>
      </c>
      <c r="AA58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8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8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8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8" s="4" t="s">
        <v>6</v>
      </c>
      <c r="AG58" s="4" t="s">
        <v>453</v>
      </c>
    </row>
    <row r="59" spans="1:33">
      <c r="A59">
        <v>58</v>
      </c>
      <c r="B59" t="s">
        <v>6</v>
      </c>
      <c r="C59" t="s">
        <v>385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0</v>
      </c>
      <c r="L59" s="116">
        <f>IF(ISNUMBER(SEARCH('Карта учёта'!$B$20,Расходка[[#This Row],[Наименование расходного материала]])),MAX($L$1:L58)+1,0)</f>
        <v>0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9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9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9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9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9" s="4" t="s">
        <v>6</v>
      </c>
      <c r="AG59" s="4" t="s">
        <v>454</v>
      </c>
    </row>
    <row r="60" spans="1:33">
      <c r="A60">
        <v>59</v>
      </c>
      <c r="B60" t="s">
        <v>6</v>
      </c>
      <c r="C60" t="s">
        <v>519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1</v>
      </c>
      <c r="L60" s="116">
        <f>IF(ISNUMBER(SEARCH('Карта учёта'!$B$20,Расходка[[#This Row],[Наименование расходного материала]])),MAX($L$1:L59)+1,0)</f>
        <v>0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60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0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0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0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0" s="4" t="s">
        <v>6</v>
      </c>
      <c r="AG60" s="4" t="s">
        <v>455</v>
      </c>
    </row>
    <row r="61" spans="1:33">
      <c r="A61">
        <v>60</v>
      </c>
      <c r="B61" t="s">
        <v>6</v>
      </c>
      <c r="C61" t="s">
        <v>520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0</v>
      </c>
      <c r="L61" s="116">
        <f>IF(ISNUMBER(SEARCH('Карта учёта'!$B$20,Расходка[[#This Row],[Наименование расходного материала]])),MAX($L$1:L60)+1,0)</f>
        <v>1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1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1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1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1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1" s="4" t="s">
        <v>6</v>
      </c>
      <c r="AG61" s="4" t="s">
        <v>416</v>
      </c>
    </row>
    <row r="62" spans="1:33">
      <c r="A62">
        <v>61</v>
      </c>
      <c r="B62" t="s">
        <v>95</v>
      </c>
      <c r="C62" s="1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0</v>
      </c>
      <c r="L62" s="116">
        <f>IF(ISNUMBER(SEARCH('Карта учёта'!$B$20,Расходка[[#This Row],[Наименование расходного материала]])),MAX($L$1:L61)+1,0)</f>
        <v>0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2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2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2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2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2" s="4" t="s">
        <v>6</v>
      </c>
      <c r="AG62" s="4" t="s">
        <v>456</v>
      </c>
    </row>
    <row r="63" spans="1:33">
      <c r="A63">
        <v>62</v>
      </c>
      <c r="B63" t="s">
        <v>95</v>
      </c>
      <c r="C63" s="1" t="s">
        <v>344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0</v>
      </c>
      <c r="L63" s="116">
        <f>IF(ISNUMBER(SEARCH('Карта учёта'!$B$20,Расходка[[#This Row],[Наименование расходного материала]])),MAX($L$1:L62)+1,0)</f>
        <v>0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3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3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3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3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3" s="4" t="s">
        <v>6</v>
      </c>
      <c r="AG63" s="4" t="s">
        <v>457</v>
      </c>
    </row>
    <row r="64" spans="1:33">
      <c r="A64">
        <v>63</v>
      </c>
      <c r="B64" t="s">
        <v>4</v>
      </c>
      <c r="C64" t="s">
        <v>351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0</v>
      </c>
      <c r="L64" s="116">
        <f>IF(ISNUMBER(SEARCH('Карта учёта'!$B$20,Расходка[[#This Row],[Наименование расходного материала]])),MAX($L$1:L63)+1,0)</f>
        <v>0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4" s="4" t="s">
        <v>6</v>
      </c>
      <c r="AG64" s="4" t="s">
        <v>458</v>
      </c>
    </row>
    <row r="65" spans="1:33">
      <c r="A65">
        <v>64</v>
      </c>
      <c r="B65" t="s">
        <v>4</v>
      </c>
      <c r="C65" t="s">
        <v>352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0</v>
      </c>
      <c r="L65" s="116">
        <f>IF(ISNUMBER(SEARCH('Карта учёта'!$B$20,Расходка[[#This Row],[Наименование расходного материала]])),MAX($L$1:L64)+1,0)</f>
        <v>0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5" s="4" t="s">
        <v>6</v>
      </c>
      <c r="AG65" s="4" t="s">
        <v>459</v>
      </c>
    </row>
    <row r="66" spans="1:33">
      <c r="A66">
        <v>65</v>
      </c>
      <c r="B66" t="s">
        <v>4</v>
      </c>
      <c r="C66" t="s">
        <v>326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0</v>
      </c>
      <c r="L66" s="116">
        <f>IF(ISNUMBER(SEARCH('Карта учёта'!$B$20,Расходка[[#This Row],[Наименование расходного материала]])),MAX($L$1:L65)+1,0)</f>
        <v>0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6" s="4" t="s">
        <v>6</v>
      </c>
      <c r="AG66" s="4" t="s">
        <v>460</v>
      </c>
    </row>
    <row r="67" spans="1:33">
      <c r="A67">
        <v>66</v>
      </c>
      <c r="B67" t="s">
        <v>4</v>
      </c>
      <c r="C67" t="s">
        <v>327</v>
      </c>
      <c r="E67" s="197">
        <f>IF(ISNUMBER(SEARCH('Карта учёта'!$B$13,Расходка[[#This Row],[Наименование расходного материала]])),MAX($E$1:E66)+1,0)</f>
        <v>0</v>
      </c>
      <c r="F67" s="197">
        <f>IF(ISNUMBER(SEARCH('Карта учёта'!$B$14,Расходка[[#This Row],[Наименование расходного материала]])),MAX($F$1:F66)+1,0)</f>
        <v>0</v>
      </c>
      <c r="G67" s="197">
        <f>IF(ISNUMBER(SEARCH('Карта учёта'!$B$15,Расходка[[#This Row],[Наименование расходного материала]])),MAX($G$1:G66)+1,0)</f>
        <v>0</v>
      </c>
      <c r="H67" s="197">
        <f>IF(ISNUMBER(SEARCH('Карта учёта'!$B$16,Расходка[[#This Row],[Наименование расходного материала]])),MAX($H$1:H66)+1,0)</f>
        <v>0</v>
      </c>
      <c r="I67" s="197">
        <f>IF(ISNUMBER(SEARCH('Карта учёта'!$B$17,Расходка[[#This Row],[Наименование расходного материала]])),MAX($I$1:I66)+1,0)</f>
        <v>0</v>
      </c>
      <c r="J67" s="197">
        <f>IF(ISNUMBER(SEARCH('Карта учёта'!$B$18,Расходка[[#This Row],[Наименование расходного материала]])),MAX($J$1:J66)+1,0)</f>
        <v>0</v>
      </c>
      <c r="K67" s="197">
        <f>IF(ISNUMBER(SEARCH('Карта учёта'!$B$19,Расходка[[#This Row],[Наименование расходного материала]])),MAX($K$1:K66)+1,0)</f>
        <v>0</v>
      </c>
      <c r="L67" s="197">
        <f>IF(ISNUMBER(SEARCH('Карта учёта'!$B$20,Расходка[[#This Row],[Наименование расходного материала]])),MAX($L$1:L66)+1,0)</f>
        <v>0</v>
      </c>
      <c r="M67" s="197">
        <f>IF(ISNUMBER(SEARCH('Карта учёта'!$B$21,Расходка[[#This Row],[Наименование расходного материала]])),MAX($M$1:M66)+1,0)</f>
        <v>66</v>
      </c>
      <c r="N67" s="197">
        <f>IF(ISNUMBER(SEARCH('Карта учёта'!$B$22,Расходка[[#This Row],[Наименование расходного материала]])),MAX($N$1:N66)+1,0)</f>
        <v>66</v>
      </c>
      <c r="O67" s="197">
        <f>IF(ISNUMBER(SEARCH('Карта учёта'!$B$23,Расходка[[#This Row],[Наименование расходного материала]])),MAX($O$1:O66)+1,0)</f>
        <v>66</v>
      </c>
      <c r="P67" s="197">
        <f>IF(ISNUMBER(SEARCH('Карта учёта'!$B$24,Расходка[[#This Row],[Наименование расходного материала]])),MAX($P$1:P66)+1,0)</f>
        <v>66</v>
      </c>
      <c r="Q67" s="197">
        <f>IF(ISNUMBER(SEARCH('Карта учёта'!$B$25,Расходка[[#This Row],[Наименование расходного материала]])),MAX($Q$1:Q66)+1,0)</f>
        <v>66</v>
      </c>
      <c r="R67" s="198" t="str">
        <f>IFERROR(INDEX(Расходка[Наименование расходного материала],MATCH(Расходка[[#This Row],[№]],Поиск_расходки[Индекс1],0)),"")</f>
        <v/>
      </c>
      <c r="S67" s="198" t="str">
        <f>IFERROR(INDEX(Расходка[Наименование расходного материала],MATCH(Расходка[[#This Row],[№]],Поиск_расходки[Индекс2],0)),"")</f>
        <v/>
      </c>
      <c r="T67" s="198" t="str">
        <f>IFERROR(INDEX(Расходка[Наименование расходного материала],MATCH(Расходка[[#This Row],[№]],Поиск_расходки[Индекс3],0)),"")</f>
        <v/>
      </c>
      <c r="U67" s="198" t="str">
        <f>IFERROR(INDEX(Расходка[Наименование расходного материала],MATCH(Расходка[[#This Row],[№]],Поиск_расходки[Индекс4],0)),"")</f>
        <v/>
      </c>
      <c r="V67" s="198" t="str">
        <f>IFERROR(INDEX(Расходка[Наименование расходного материала],MATCH(Расходка[[#This Row],[№]],Поиск_расходки[Индекс5],0)),"")</f>
        <v/>
      </c>
      <c r="W67" s="198" t="str">
        <f>IFERROR(INDEX(Расходка[Наименование расходного материала],MATCH(Расходка[[#This Row],[№]],Поиск_расходки[Индекс6],0)),"")</f>
        <v/>
      </c>
      <c r="X67" s="198" t="str">
        <f>IFERROR(INDEX(Расходка[Наименование расходного материала],MATCH(Расходка[[#This Row],[№]],Поиск_расходки[Индекс7],0)),"")</f>
        <v/>
      </c>
      <c r="Y67" s="198" t="str">
        <f>IFERROR(INDEX(Расходка[Наименование расходного материала],MATCH(Расходка[[#This Row],[№]],Поиск_расходки[Индекс8],0)),"")</f>
        <v/>
      </c>
      <c r="Z67" s="198" t="str">
        <f>IFERROR(INDEX(Расходка[Наименование расходного материала],MATCH(Расходка[[#This Row],[№]],Поиск_расходки[Индекс9],0)),"")</f>
        <v>Launcher 6F EBU 4.0</v>
      </c>
      <c r="AA67" s="198" t="str">
        <f>IFERROR(INDEX(Расходка[Наименование расходного материала],MATCH(Расходка[[#This Row],[№]],Поиск_расходки[Индекс10],0)),"")</f>
        <v>Launcher 6F EBU 4.0</v>
      </c>
      <c r="AB67" s="198" t="str">
        <f>IFERROR(INDEX(Расходка[Наименование расходного материала],MATCH(Расходка[[#This Row],[№]],Поиск_расходки[Индекс11],0)),"")</f>
        <v>Launcher 6F EBU 4.0</v>
      </c>
      <c r="AC67" s="198" t="str">
        <f>IFERROR(INDEX(Расходка[Наименование расходного материала],MATCH(Расходка[[#This Row],[№]],Поиск_расходки[Индекс12],0)),"")</f>
        <v>Launcher 6F EBU 4.0</v>
      </c>
      <c r="AD67" s="198" t="str">
        <f>IFERROR(INDEX(Расходка[Наименование расходного материала],MATCH(Расходка[[#This Row],[№]],Поиск_расходки[Индекс13],0)),"")</f>
        <v>Launcher 6F EBU 4.0</v>
      </c>
      <c r="AF67" s="4" t="s">
        <v>6</v>
      </c>
      <c r="AG67" s="4" t="s">
        <v>461</v>
      </c>
    </row>
    <row r="68" spans="1:33">
      <c r="A68">
        <v>67</v>
      </c>
      <c r="B68" t="s">
        <v>4</v>
      </c>
      <c r="C68" t="s">
        <v>328</v>
      </c>
      <c r="E68" s="197">
        <f>IF(ISNUMBER(SEARCH('Карта учёта'!$B$13,Расходка[[#This Row],[Наименование расходного материала]])),MAX($E$1:E67)+1,0)</f>
        <v>0</v>
      </c>
      <c r="F68" s="197">
        <f>IF(ISNUMBER(SEARCH('Карта учёта'!$B$14,Расходка[[#This Row],[Наименование расходного материала]])),MAX($F$1:F67)+1,0)</f>
        <v>0</v>
      </c>
      <c r="G68" s="197">
        <f>IF(ISNUMBER(SEARCH('Карта учёта'!$B$15,Расходка[[#This Row],[Наименование расходного материала]])),MAX($G$1:G67)+1,0)</f>
        <v>0</v>
      </c>
      <c r="H68" s="197">
        <f>IF(ISNUMBER(SEARCH('Карта учёта'!$B$16,Расходка[[#This Row],[Наименование расходного материала]])),MAX($H$1:H67)+1,0)</f>
        <v>0</v>
      </c>
      <c r="I68" s="197">
        <f>IF(ISNUMBER(SEARCH('Карта учёта'!$B$17,Расходка[[#This Row],[Наименование расходного материала]])),MAX($I$1:I67)+1,0)</f>
        <v>0</v>
      </c>
      <c r="J68" s="197">
        <f>IF(ISNUMBER(SEARCH('Карта учёта'!$B$18,Расходка[[#This Row],[Наименование расходного материала]])),MAX($J$1:J67)+1,0)</f>
        <v>0</v>
      </c>
      <c r="K68" s="197">
        <f>IF(ISNUMBER(SEARCH('Карта учёта'!$B$19,Расходка[[#This Row],[Наименование расходного материала]])),MAX($K$1:K67)+1,0)</f>
        <v>0</v>
      </c>
      <c r="L68" s="197">
        <f>IF(ISNUMBER(SEARCH('Карта учёта'!$B$20,Расходка[[#This Row],[Наименование расходного материала]])),MAX($L$1:L67)+1,0)</f>
        <v>0</v>
      </c>
      <c r="M68" s="197">
        <f>IF(ISNUMBER(SEARCH('Карта учёта'!$B$21,Расходка[[#This Row],[Наименование расходного материала]])),MAX($M$1:M67)+1,0)</f>
        <v>67</v>
      </c>
      <c r="N68" s="197">
        <f>IF(ISNUMBER(SEARCH('Карта учёта'!$B$22,Расходка[[#This Row],[Наименование расходного материала]])),MAX($N$1:N67)+1,0)</f>
        <v>67</v>
      </c>
      <c r="O68" s="197">
        <f>IF(ISNUMBER(SEARCH('Карта учёта'!$B$23,Расходка[[#This Row],[Наименование расходного материала]])),MAX($O$1:O67)+1,0)</f>
        <v>67</v>
      </c>
      <c r="P68" s="197">
        <f>IF(ISNUMBER(SEARCH('Карта учёта'!$B$24,Расходка[[#This Row],[Наименование расходного материала]])),MAX($P$1:P67)+1,0)</f>
        <v>67</v>
      </c>
      <c r="Q68" s="197">
        <f>IF(ISNUMBER(SEARCH('Карта учёта'!$B$25,Расходка[[#This Row],[Наименование расходного материала]])),MAX($Q$1:Q67)+1,0)</f>
        <v>67</v>
      </c>
      <c r="R68" s="198" t="str">
        <f>IFERROR(INDEX(Расходка[Наименование расходного материала],MATCH(Расходка[[#This Row],[№]],Поиск_расходки[Индекс1],0)),"")</f>
        <v/>
      </c>
      <c r="S68" s="198" t="str">
        <f>IFERROR(INDEX(Расходка[Наименование расходного материала],MATCH(Расходка[[#This Row],[№]],Поиск_расходки[Индекс2],0)),"")</f>
        <v/>
      </c>
      <c r="T68" s="198" t="str">
        <f>IFERROR(INDEX(Расходка[Наименование расходного материала],MATCH(Расходка[[#This Row],[№]],Поиск_расходки[Индекс3],0)),"")</f>
        <v/>
      </c>
      <c r="U68" s="198" t="str">
        <f>IFERROR(INDEX(Расходка[Наименование расходного материала],MATCH(Расходка[[#This Row],[№]],Поиск_расходки[Индекс4],0)),"")</f>
        <v/>
      </c>
      <c r="V68" s="198" t="str">
        <f>IFERROR(INDEX(Расходка[Наименование расходного материала],MATCH(Расходка[[#This Row],[№]],Поиск_расходки[Индекс5],0)),"")</f>
        <v/>
      </c>
      <c r="W68" s="198" t="str">
        <f>IFERROR(INDEX(Расходка[Наименование расходного материала],MATCH(Расходка[[#This Row],[№]],Поиск_расходки[Индекс6],0)),"")</f>
        <v/>
      </c>
      <c r="X68" s="198" t="str">
        <f>IFERROR(INDEX(Расходка[Наименование расходного материала],MATCH(Расходка[[#This Row],[№]],Поиск_расходки[Индекс7],0)),"")</f>
        <v/>
      </c>
      <c r="Y68" s="198" t="str">
        <f>IFERROR(INDEX(Расходка[Наименование расходного материала],MATCH(Расходка[[#This Row],[№]],Поиск_расходки[Индекс8],0)),"")</f>
        <v/>
      </c>
      <c r="Z68" s="198" t="str">
        <f>IFERROR(INDEX(Расходка[Наименование расходного материала],MATCH(Расходка[[#This Row],[№]],Поиск_расходки[Индекс9],0)),"")</f>
        <v>Launcher 6F JL 3.5</v>
      </c>
      <c r="AA68" s="198" t="str">
        <f>IFERROR(INDEX(Расходка[Наименование расходного материала],MATCH(Расходка[[#This Row],[№]],Поиск_расходки[Индекс10],0)),"")</f>
        <v>Launcher 6F JL 3.5</v>
      </c>
      <c r="AB68" s="198" t="str">
        <f>IFERROR(INDEX(Расходка[Наименование расходного материала],MATCH(Расходка[[#This Row],[№]],Поиск_расходки[Индекс11],0)),"")</f>
        <v>Launcher 6F JL 3.5</v>
      </c>
      <c r="AC68" s="198" t="str">
        <f>IFERROR(INDEX(Расходка[Наименование расходного материала],MATCH(Расходка[[#This Row],[№]],Поиск_расходки[Индекс12],0)),"")</f>
        <v>Launcher 6F JL 3.5</v>
      </c>
      <c r="AD68" s="198" t="str">
        <f>IFERROR(INDEX(Расходка[Наименование расходного материала],MATCH(Расходка[[#This Row],[№]],Поиск_расходки[Индекс13],0)),"")</f>
        <v>Launcher 6F JL 3.5</v>
      </c>
      <c r="AF68" s="4" t="s">
        <v>6</v>
      </c>
      <c r="AG68" s="4" t="s">
        <v>462</v>
      </c>
    </row>
    <row r="69" spans="1:33">
      <c r="A69">
        <v>68</v>
      </c>
      <c r="B69" t="s">
        <v>4</v>
      </c>
      <c r="C69" t="s">
        <v>329</v>
      </c>
      <c r="E69" s="197">
        <f>IF(ISNUMBER(SEARCH('Карта учёта'!$B$13,Расходка[[#This Row],[Наименование расходного материала]])),MAX($E$1:E68)+1,0)</f>
        <v>0</v>
      </c>
      <c r="F69" s="197">
        <f>IF(ISNUMBER(SEARCH('Карта учёта'!$B$14,Расходка[[#This Row],[Наименование расходного материала]])),MAX($F$1:F68)+1,0)</f>
        <v>0</v>
      </c>
      <c r="G69" s="197">
        <f>IF(ISNUMBER(SEARCH('Карта учёта'!$B$15,Расходка[[#This Row],[Наименование расходного материала]])),MAX($G$1:G68)+1,0)</f>
        <v>0</v>
      </c>
      <c r="H69" s="197">
        <f>IF(ISNUMBER(SEARCH('Карта учёта'!$B$16,Расходка[[#This Row],[Наименование расходного материала]])),MAX($H$1:H68)+1,0)</f>
        <v>0</v>
      </c>
      <c r="I69" s="197">
        <f>IF(ISNUMBER(SEARCH('Карта учёта'!$B$17,Расходка[[#This Row],[Наименование расходного материала]])),MAX($I$1:I68)+1,0)</f>
        <v>0</v>
      </c>
      <c r="J69" s="197">
        <f>IF(ISNUMBER(SEARCH('Карта учёта'!$B$18,Расходка[[#This Row],[Наименование расходного материала]])),MAX($J$1:J68)+1,0)</f>
        <v>0</v>
      </c>
      <c r="K69" s="197">
        <f>IF(ISNUMBER(SEARCH('Карта учёта'!$B$19,Расходка[[#This Row],[Наименование расходного материала]])),MAX($K$1:K68)+1,0)</f>
        <v>0</v>
      </c>
      <c r="L69" s="197">
        <f>IF(ISNUMBER(SEARCH('Карта учёта'!$B$20,Расходка[[#This Row],[Наименование расходного материала]])),MAX($L$1:L68)+1,0)</f>
        <v>0</v>
      </c>
      <c r="M69" s="197">
        <f>IF(ISNUMBER(SEARCH('Карта учёта'!$B$21,Расходка[[#This Row],[Наименование расходного материала]])),MAX($M$1:M68)+1,0)</f>
        <v>68</v>
      </c>
      <c r="N69" s="197">
        <f>IF(ISNUMBER(SEARCH('Карта учёта'!$B$22,Расходка[[#This Row],[Наименование расходного материала]])),MAX($N$1:N68)+1,0)</f>
        <v>68</v>
      </c>
      <c r="O69" s="197">
        <f>IF(ISNUMBER(SEARCH('Карта учёта'!$B$23,Расходка[[#This Row],[Наименование расходного материала]])),MAX($O$1:O68)+1,0)</f>
        <v>68</v>
      </c>
      <c r="P69" s="197">
        <f>IF(ISNUMBER(SEARCH('Карта учёта'!$B$24,Расходка[[#This Row],[Наименование расходного материала]])),MAX($P$1:P68)+1,0)</f>
        <v>68</v>
      </c>
      <c r="Q69" s="197">
        <f>IF(ISNUMBER(SEARCH('Карта учёта'!$B$25,Расходка[[#This Row],[Наименование расходного материала]])),MAX($Q$1:Q68)+1,0)</f>
        <v>68</v>
      </c>
      <c r="R69" s="198" t="str">
        <f>IFERROR(INDEX(Расходка[Наименование расходного материала],MATCH(Расходка[[#This Row],[№]],Поиск_расходки[Индекс1],0)),"")</f>
        <v/>
      </c>
      <c r="S69" s="198" t="str">
        <f>IFERROR(INDEX(Расходка[Наименование расходного материала],MATCH(Расходка[[#This Row],[№]],Поиск_расходки[Индекс2],0)),"")</f>
        <v/>
      </c>
      <c r="T69" s="198" t="str">
        <f>IFERROR(INDEX(Расходка[Наименование расходного материала],MATCH(Расходка[[#This Row],[№]],Поиск_расходки[Индекс3],0)),"")</f>
        <v/>
      </c>
      <c r="U69" s="198" t="str">
        <f>IFERROR(INDEX(Расходка[Наименование расходного материала],MATCH(Расходка[[#This Row],[№]],Поиск_расходки[Индекс4],0)),"")</f>
        <v/>
      </c>
      <c r="V69" s="198" t="str">
        <f>IFERROR(INDEX(Расходка[Наименование расходного материала],MATCH(Расходка[[#This Row],[№]],Поиск_расходки[Индекс5],0)),"")</f>
        <v/>
      </c>
      <c r="W69" s="198" t="str">
        <f>IFERROR(INDEX(Расходка[Наименование расходного материала],MATCH(Расходка[[#This Row],[№]],Поиск_расходки[Индекс6],0)),"")</f>
        <v/>
      </c>
      <c r="X69" s="198" t="str">
        <f>IFERROR(INDEX(Расходка[Наименование расходного материала],MATCH(Расходка[[#This Row],[№]],Поиск_расходки[Индекс7],0)),"")</f>
        <v/>
      </c>
      <c r="Y69" s="198" t="str">
        <f>IFERROR(INDEX(Расходка[Наименование расходного материала],MATCH(Расходка[[#This Row],[№]],Поиск_расходки[Индекс8],0)),"")</f>
        <v/>
      </c>
      <c r="Z69" s="198" t="str">
        <f>IFERROR(INDEX(Расходка[Наименование расходного материала],MATCH(Расходка[[#This Row],[№]],Поиск_расходки[Индекс9],0)),"")</f>
        <v>Launcher 6F JL 4.0</v>
      </c>
      <c r="AA69" s="198" t="str">
        <f>IFERROR(INDEX(Расходка[Наименование расходного материала],MATCH(Расходка[[#This Row],[№]],Поиск_расходки[Индекс10],0)),"")</f>
        <v>Launcher 6F JL 4.0</v>
      </c>
      <c r="AB69" s="198" t="str">
        <f>IFERROR(INDEX(Расходка[Наименование расходного материала],MATCH(Расходка[[#This Row],[№]],Поиск_расходки[Индекс11],0)),"")</f>
        <v>Launcher 6F JL 4.0</v>
      </c>
      <c r="AC69" s="198" t="str">
        <f>IFERROR(INDEX(Расходка[Наименование расходного материала],MATCH(Расходка[[#This Row],[№]],Поиск_расходки[Индекс12],0)),"")</f>
        <v>Launcher 6F JL 4.0</v>
      </c>
      <c r="AD69" s="198" t="str">
        <f>IFERROR(INDEX(Расходка[Наименование расходного материала],MATCH(Расходка[[#This Row],[№]],Поиск_расходки[Индекс13],0)),"")</f>
        <v>Launcher 6F JL 4.0</v>
      </c>
      <c r="AF69" s="4" t="s">
        <v>6</v>
      </c>
      <c r="AG69" s="4" t="s">
        <v>463</v>
      </c>
    </row>
    <row r="70" spans="1:33">
      <c r="A70">
        <v>69</v>
      </c>
      <c r="B70" t="s">
        <v>4</v>
      </c>
      <c r="C70" t="s">
        <v>335</v>
      </c>
      <c r="E70" s="197">
        <f>IF(ISNUMBER(SEARCH('Карта учёта'!$B$13,Расходка[[#This Row],[Наименование расходного материала]])),MAX($E$1:E69)+1,0)</f>
        <v>0</v>
      </c>
      <c r="F70" s="197">
        <f>IF(ISNUMBER(SEARCH('Карта учёта'!$B$14,Расходка[[#This Row],[Наименование расходного материала]])),MAX($F$1:F69)+1,0)</f>
        <v>0</v>
      </c>
      <c r="G70" s="197">
        <f>IF(ISNUMBER(SEARCH('Карта учёта'!$B$15,Расходка[[#This Row],[Наименование расходного материала]])),MAX($G$1:G69)+1,0)</f>
        <v>0</v>
      </c>
      <c r="H70" s="197">
        <f>IF(ISNUMBER(SEARCH('Карта учёта'!$B$16,Расходка[[#This Row],[Наименование расходного материала]])),MAX($H$1:H69)+1,0)</f>
        <v>0</v>
      </c>
      <c r="I70" s="197">
        <f>IF(ISNUMBER(SEARCH('Карта учёта'!$B$17,Расходка[[#This Row],[Наименование расходного материала]])),MAX($I$1:I69)+1,0)</f>
        <v>0</v>
      </c>
      <c r="J70" s="197">
        <f>IF(ISNUMBER(SEARCH('Карта учёта'!$B$18,Расходка[[#This Row],[Наименование расходного материала]])),MAX($J$1:J69)+1,0)</f>
        <v>0</v>
      </c>
      <c r="K70" s="197">
        <f>IF(ISNUMBER(SEARCH('Карта учёта'!$B$19,Расходка[[#This Row],[Наименование расходного материала]])),MAX($K$1:K69)+1,0)</f>
        <v>0</v>
      </c>
      <c r="L70" s="197">
        <f>IF(ISNUMBER(SEARCH('Карта учёта'!$B$20,Расходка[[#This Row],[Наименование расходного материала]])),MAX($L$1:L69)+1,0)</f>
        <v>0</v>
      </c>
      <c r="M70" s="197">
        <f>IF(ISNUMBER(SEARCH('Карта учёта'!$B$21,Расходка[[#This Row],[Наименование расходного материала]])),MAX($M$1:M69)+1,0)</f>
        <v>69</v>
      </c>
      <c r="N70" s="197">
        <f>IF(ISNUMBER(SEARCH('Карта учёта'!$B$22,Расходка[[#This Row],[Наименование расходного материала]])),MAX($N$1:N69)+1,0)</f>
        <v>69</v>
      </c>
      <c r="O70" s="197">
        <f>IF(ISNUMBER(SEARCH('Карта учёта'!$B$23,Расходка[[#This Row],[Наименование расходного материала]])),MAX($O$1:O69)+1,0)</f>
        <v>69</v>
      </c>
      <c r="P70" s="197">
        <f>IF(ISNUMBER(SEARCH('Карта учёта'!$B$24,Расходка[[#This Row],[Наименование расходного материала]])),MAX($P$1:P69)+1,0)</f>
        <v>69</v>
      </c>
      <c r="Q70" s="197">
        <f>IF(ISNUMBER(SEARCH('Карта учёта'!$B$25,Расходка[[#This Row],[Наименование расходного материала]])),MAX($Q$1:Q69)+1,0)</f>
        <v>69</v>
      </c>
      <c r="R70" s="198" t="str">
        <f>IFERROR(INDEX(Расходка[Наименование расходного материала],MATCH(Расходка[[#This Row],[№]],Поиск_расходки[Индекс1],0)),"")</f>
        <v/>
      </c>
      <c r="S70" s="198" t="str">
        <f>IFERROR(INDEX(Расходка[Наименование расходного материала],MATCH(Расходка[[#This Row],[№]],Поиск_расходки[Индекс2],0)),"")</f>
        <v/>
      </c>
      <c r="T70" s="198" t="str">
        <f>IFERROR(INDEX(Расходка[Наименование расходного материала],MATCH(Расходка[[#This Row],[№]],Поиск_расходки[Индекс3],0)),"")</f>
        <v/>
      </c>
      <c r="U70" s="198" t="str">
        <f>IFERROR(INDEX(Расходка[Наименование расходного материала],MATCH(Расходка[[#This Row],[№]],Поиск_расходки[Индекс4],0)),"")</f>
        <v/>
      </c>
      <c r="V70" s="198" t="str">
        <f>IFERROR(INDEX(Расходка[Наименование расходного материала],MATCH(Расходка[[#This Row],[№]],Поиск_расходки[Индекс5],0)),"")</f>
        <v/>
      </c>
      <c r="W70" s="198" t="str">
        <f>IFERROR(INDEX(Расходка[Наименование расходного материала],MATCH(Расходка[[#This Row],[№]],Поиск_расходки[Индекс6],0)),"")</f>
        <v/>
      </c>
      <c r="X70" s="198" t="str">
        <f>IFERROR(INDEX(Расходка[Наименование расходного материала],MATCH(Расходка[[#This Row],[№]],Поиск_расходки[Индекс7],0)),"")</f>
        <v/>
      </c>
      <c r="Y70" s="198" t="str">
        <f>IFERROR(INDEX(Расходка[Наименование расходного материала],MATCH(Расходка[[#This Row],[№]],Поиск_расходки[Индекс8],0)),"")</f>
        <v/>
      </c>
      <c r="Z70" s="198" t="str">
        <f>IFERROR(INDEX(Расходка[Наименование расходного материала],MATCH(Расходка[[#This Row],[№]],Поиск_расходки[Индекс9],0)),"")</f>
        <v>Launcher 6F JL 4.5</v>
      </c>
      <c r="AA70" s="198" t="str">
        <f>IFERROR(INDEX(Расходка[Наименование расходного материала],MATCH(Расходка[[#This Row],[№]],Поиск_расходки[Индекс10],0)),"")</f>
        <v>Launcher 6F JL 4.5</v>
      </c>
      <c r="AB70" s="198" t="str">
        <f>IFERROR(INDEX(Расходка[Наименование расходного материала],MATCH(Расходка[[#This Row],[№]],Поиск_расходки[Индекс11],0)),"")</f>
        <v>Launcher 6F JL 4.5</v>
      </c>
      <c r="AC70" s="198" t="str">
        <f>IFERROR(INDEX(Расходка[Наименование расходного материала],MATCH(Расходка[[#This Row],[№]],Поиск_расходки[Индекс12],0)),"")</f>
        <v>Launcher 6F JL 4.5</v>
      </c>
      <c r="AD70" s="198" t="str">
        <f>IFERROR(INDEX(Расходка[Наименование расходного материала],MATCH(Расходка[[#This Row],[№]],Поиск_расходки[Индекс13],0)),"")</f>
        <v>Launcher 6F JL 4.5</v>
      </c>
      <c r="AF70" s="4" t="s">
        <v>6</v>
      </c>
      <c r="AG70" s="4" t="s">
        <v>464</v>
      </c>
    </row>
    <row r="71" spans="1:33">
      <c r="A71">
        <v>70</v>
      </c>
      <c r="B71" t="s">
        <v>4</v>
      </c>
      <c r="C71" t="s">
        <v>330</v>
      </c>
      <c r="E71" s="197">
        <f>IF(ISNUMBER(SEARCH('Карта учёта'!$B$13,Расходка[[#This Row],[Наименование расходного материала]])),MAX($E$1:E70)+1,0)</f>
        <v>0</v>
      </c>
      <c r="F71" s="197">
        <f>IF(ISNUMBER(SEARCH('Карта учёта'!$B$14,Расходка[[#This Row],[Наименование расходного материала]])),MAX($F$1:F70)+1,0)</f>
        <v>0</v>
      </c>
      <c r="G71" s="197">
        <f>IF(ISNUMBER(SEARCH('Карта учёта'!$B$15,Расходка[[#This Row],[Наименование расходного материала]])),MAX($G$1:G70)+1,0)</f>
        <v>0</v>
      </c>
      <c r="H71" s="197">
        <f>IF(ISNUMBER(SEARCH('Карта учёта'!$B$16,Расходка[[#This Row],[Наименование расходного материала]])),MAX($H$1:H70)+1,0)</f>
        <v>0</v>
      </c>
      <c r="I71" s="197">
        <f>IF(ISNUMBER(SEARCH('Карта учёта'!$B$17,Расходка[[#This Row],[Наименование расходного материала]])),MAX($I$1:I70)+1,0)</f>
        <v>0</v>
      </c>
      <c r="J71" s="197">
        <f>IF(ISNUMBER(SEARCH('Карта учёта'!$B$18,Расходка[[#This Row],[Наименование расходного материала]])),MAX($J$1:J70)+1,0)</f>
        <v>0</v>
      </c>
      <c r="K71" s="197">
        <f>IF(ISNUMBER(SEARCH('Карта учёта'!$B$19,Расходка[[#This Row],[Наименование расходного материала]])),MAX($K$1:K70)+1,0)</f>
        <v>0</v>
      </c>
      <c r="L71" s="197">
        <f>IF(ISNUMBER(SEARCH('Карта учёта'!$B$20,Расходка[[#This Row],[Наименование расходного материала]])),MAX($L$1:L70)+1,0)</f>
        <v>0</v>
      </c>
      <c r="M71" s="197">
        <f>IF(ISNUMBER(SEARCH('Карта учёта'!$B$21,Расходка[[#This Row],[Наименование расходного материала]])),MAX($M$1:M70)+1,0)</f>
        <v>70</v>
      </c>
      <c r="N71" s="197">
        <f>IF(ISNUMBER(SEARCH('Карта учёта'!$B$22,Расходка[[#This Row],[Наименование расходного материала]])),MAX($N$1:N70)+1,0)</f>
        <v>70</v>
      </c>
      <c r="O71" s="197">
        <f>IF(ISNUMBER(SEARCH('Карта учёта'!$B$23,Расходка[[#This Row],[Наименование расходного материала]])),MAX($O$1:O70)+1,0)</f>
        <v>70</v>
      </c>
      <c r="P71" s="197">
        <f>IF(ISNUMBER(SEARCH('Карта учёта'!$B$24,Расходка[[#This Row],[Наименование расходного материала]])),MAX($P$1:P70)+1,0)</f>
        <v>70</v>
      </c>
      <c r="Q71" s="197">
        <f>IF(ISNUMBER(SEARCH('Карта учёта'!$B$25,Расходка[[#This Row],[Наименование расходного материала]])),MAX($Q$1:Q70)+1,0)</f>
        <v>70</v>
      </c>
      <c r="R71" s="198" t="str">
        <f>IFERROR(INDEX(Расходка[Наименование расходного материала],MATCH(Расходка[[#This Row],[№]],Поиск_расходки[Индекс1],0)),"")</f>
        <v/>
      </c>
      <c r="S71" s="198" t="str">
        <f>IFERROR(INDEX(Расходка[Наименование расходного материала],MATCH(Расходка[[#This Row],[№]],Поиск_расходки[Индекс2],0)),"")</f>
        <v/>
      </c>
      <c r="T71" s="198" t="str">
        <f>IFERROR(INDEX(Расходка[Наименование расходного материала],MATCH(Расходка[[#This Row],[№]],Поиск_расходки[Индекс3],0)),"")</f>
        <v/>
      </c>
      <c r="U71" s="198" t="str">
        <f>IFERROR(INDEX(Расходка[Наименование расходного материала],MATCH(Расходка[[#This Row],[№]],Поиск_расходки[Индекс4],0)),"")</f>
        <v/>
      </c>
      <c r="V71" s="198" t="str">
        <f>IFERROR(INDEX(Расходка[Наименование расходного материала],MATCH(Расходка[[#This Row],[№]],Поиск_расходки[Индекс5],0)),"")</f>
        <v/>
      </c>
      <c r="W71" s="198" t="str">
        <f>IFERROR(INDEX(Расходка[Наименование расходного материала],MATCH(Расходка[[#This Row],[№]],Поиск_расходки[Индекс6],0)),"")</f>
        <v/>
      </c>
      <c r="X71" s="198" t="str">
        <f>IFERROR(INDEX(Расходка[Наименование расходного материала],MATCH(Расходка[[#This Row],[№]],Поиск_расходки[Индекс7],0)),"")</f>
        <v/>
      </c>
      <c r="Y71" s="198" t="str">
        <f>IFERROR(INDEX(Расходка[Наименование расходного материала],MATCH(Расходка[[#This Row],[№]],Поиск_расходки[Индекс8],0)),"")</f>
        <v/>
      </c>
      <c r="Z71" s="198" t="str">
        <f>IFERROR(INDEX(Расходка[Наименование расходного материала],MATCH(Расходка[[#This Row],[№]],Поиск_расходки[Индекс9],0)),"")</f>
        <v>Launcher 6F JR 3.5</v>
      </c>
      <c r="AA71" s="198" t="str">
        <f>IFERROR(INDEX(Расходка[Наименование расходного материала],MATCH(Расходка[[#This Row],[№]],Поиск_расходки[Индекс10],0)),"")</f>
        <v>Launcher 6F JR 3.5</v>
      </c>
      <c r="AB71" s="198" t="str">
        <f>IFERROR(INDEX(Расходка[Наименование расходного материала],MATCH(Расходка[[#This Row],[№]],Поиск_расходки[Индекс11],0)),"")</f>
        <v>Launcher 6F JR 3.5</v>
      </c>
      <c r="AC71" s="198" t="str">
        <f>IFERROR(INDEX(Расходка[Наименование расходного материала],MATCH(Расходка[[#This Row],[№]],Поиск_расходки[Индекс12],0)),"")</f>
        <v>Launcher 6F JR 3.5</v>
      </c>
      <c r="AD71" s="198" t="str">
        <f>IFERROR(INDEX(Расходка[Наименование расходного материала],MATCH(Расходка[[#This Row],[№]],Поиск_расходки[Индекс13],0)),"")</f>
        <v>Launcher 6F JR 3.5</v>
      </c>
      <c r="AF71" s="4" t="s">
        <v>6</v>
      </c>
      <c r="AG71" s="4" t="s">
        <v>419</v>
      </c>
    </row>
    <row r="72" spans="1:33">
      <c r="A72">
        <v>71</v>
      </c>
      <c r="B72" t="s">
        <v>4</v>
      </c>
      <c r="C72" t="s">
        <v>331</v>
      </c>
      <c r="E72" s="197">
        <f>IF(ISNUMBER(SEARCH('Карта учёта'!$B$13,Расходка[[#This Row],[Наименование расходного материала]])),MAX($E$1:E71)+1,0)</f>
        <v>0</v>
      </c>
      <c r="F72" s="197">
        <f>IF(ISNUMBER(SEARCH('Карта учёта'!$B$14,Расходка[[#This Row],[Наименование расходного материала]])),MAX($F$1:F71)+1,0)</f>
        <v>1</v>
      </c>
      <c r="G72" s="197">
        <f>IF(ISNUMBER(SEARCH('Карта учёта'!$B$15,Расходка[[#This Row],[Наименование расходного материала]])),MAX($G$1:G71)+1,0)</f>
        <v>0</v>
      </c>
      <c r="H72" s="197">
        <f>IF(ISNUMBER(SEARCH('Карта учёта'!$B$16,Расходка[[#This Row],[Наименование расходного материала]])),MAX($H$1:H71)+1,0)</f>
        <v>0</v>
      </c>
      <c r="I72" s="197">
        <f>IF(ISNUMBER(SEARCH('Карта учёта'!$B$17,Расходка[[#This Row],[Наименование расходного материала]])),MAX($I$1:I71)+1,0)</f>
        <v>0</v>
      </c>
      <c r="J72" s="197">
        <f>IF(ISNUMBER(SEARCH('Карта учёта'!$B$18,Расходка[[#This Row],[Наименование расходного материала]])),MAX($J$1:J71)+1,0)</f>
        <v>0</v>
      </c>
      <c r="K72" s="197">
        <f>IF(ISNUMBER(SEARCH('Карта учёта'!$B$19,Расходка[[#This Row],[Наименование расходного материала]])),MAX($K$1:K71)+1,0)</f>
        <v>0</v>
      </c>
      <c r="L72" s="197">
        <f>IF(ISNUMBER(SEARCH('Карта учёта'!$B$20,Расходка[[#This Row],[Наименование расходного материала]])),MAX($L$1:L71)+1,0)</f>
        <v>0</v>
      </c>
      <c r="M72" s="197">
        <f>IF(ISNUMBER(SEARCH('Карта учёта'!$B$21,Расходка[[#This Row],[Наименование расходного материала]])),MAX($M$1:M71)+1,0)</f>
        <v>71</v>
      </c>
      <c r="N72" s="197">
        <f>IF(ISNUMBER(SEARCH('Карта учёта'!$B$22,Расходка[[#This Row],[Наименование расходного материала]])),MAX($N$1:N71)+1,0)</f>
        <v>71</v>
      </c>
      <c r="O72" s="197">
        <f>IF(ISNUMBER(SEARCH('Карта учёта'!$B$23,Расходка[[#This Row],[Наименование расходного материала]])),MAX($O$1:O71)+1,0)</f>
        <v>71</v>
      </c>
      <c r="P72" s="197">
        <f>IF(ISNUMBER(SEARCH('Карта учёта'!$B$24,Расходка[[#This Row],[Наименование расходного материала]])),MAX($P$1:P71)+1,0)</f>
        <v>71</v>
      </c>
      <c r="Q72" s="197">
        <f>IF(ISNUMBER(SEARCH('Карта учёта'!$B$25,Расходка[[#This Row],[Наименование расходного материала]])),MAX($Q$1:Q71)+1,0)</f>
        <v>71</v>
      </c>
      <c r="R72" s="198" t="str">
        <f>IFERROR(INDEX(Расходка[Наименование расходного материала],MATCH(Расходка[[#This Row],[№]],Поиск_расходки[Индекс1],0)),"")</f>
        <v/>
      </c>
      <c r="S72" s="198" t="str">
        <f>IFERROR(INDEX(Расходка[Наименование расходного материала],MATCH(Расходка[[#This Row],[№]],Поиск_расходки[Индекс2],0)),"")</f>
        <v/>
      </c>
      <c r="T72" s="198" t="str">
        <f>IFERROR(INDEX(Расходка[Наименование расходного материала],MATCH(Расходка[[#This Row],[№]],Поиск_расходки[Индекс3],0)),"")</f>
        <v/>
      </c>
      <c r="U72" s="198" t="str">
        <f>IFERROR(INDEX(Расходка[Наименование расходного материала],MATCH(Расходка[[#This Row],[№]],Поиск_расходки[Индекс4],0)),"")</f>
        <v/>
      </c>
      <c r="V72" s="198" t="str">
        <f>IFERROR(INDEX(Расходка[Наименование расходного материала],MATCH(Расходка[[#This Row],[№]],Поиск_расходки[Индекс5],0)),"")</f>
        <v/>
      </c>
      <c r="W72" s="198" t="str">
        <f>IFERROR(INDEX(Расходка[Наименование расходного материала],MATCH(Расходка[[#This Row],[№]],Поиск_расходки[Индекс6],0)),"")</f>
        <v/>
      </c>
      <c r="X72" s="198" t="str">
        <f>IFERROR(INDEX(Расходка[Наименование расходного материала],MATCH(Расходка[[#This Row],[№]],Поиск_расходки[Индекс7],0)),"")</f>
        <v/>
      </c>
      <c r="Y72" s="198" t="str">
        <f>IFERROR(INDEX(Расходка[Наименование расходного материала],MATCH(Расходка[[#This Row],[№]],Поиск_расходки[Индекс8],0)),"")</f>
        <v/>
      </c>
      <c r="Z72" s="198" t="str">
        <f>IFERROR(INDEX(Расходка[Наименование расходного материала],MATCH(Расходка[[#This Row],[№]],Поиск_расходки[Индекс9],0)),"")</f>
        <v>Launcher 6F JR 4.0</v>
      </c>
      <c r="AA72" s="198" t="str">
        <f>IFERROR(INDEX(Расходка[Наименование расходного материала],MATCH(Расходка[[#This Row],[№]],Поиск_расходки[Индекс10],0)),"")</f>
        <v>Launcher 6F JR 4.0</v>
      </c>
      <c r="AB72" s="198" t="str">
        <f>IFERROR(INDEX(Расходка[Наименование расходного материала],MATCH(Расходка[[#This Row],[№]],Поиск_расходки[Индекс11],0)),"")</f>
        <v>Launcher 6F JR 4.0</v>
      </c>
      <c r="AC72" s="198" t="str">
        <f>IFERROR(INDEX(Расходка[Наименование расходного материала],MATCH(Расходка[[#This Row],[№]],Поиск_расходки[Индекс12],0)),"")</f>
        <v>Launcher 6F JR 4.0</v>
      </c>
      <c r="AD72" s="198" t="str">
        <f>IFERROR(INDEX(Расходка[Наименование расходного материала],MATCH(Расходка[[#This Row],[№]],Поиск_расходки[Индекс13],0)),"")</f>
        <v>Launcher 6F JR 4.0</v>
      </c>
      <c r="AF72" s="4" t="s">
        <v>6</v>
      </c>
      <c r="AG72" s="4" t="s">
        <v>465</v>
      </c>
    </row>
    <row r="73" spans="1:33">
      <c r="A73">
        <v>72</v>
      </c>
      <c r="B73" t="s">
        <v>4</v>
      </c>
      <c r="C73" t="s">
        <v>341</v>
      </c>
      <c r="E73" s="197">
        <f>IF(ISNUMBER(SEARCH('Карта учёта'!$B$13,Расходка[[#This Row],[Наименование расходного материала]])),MAX($E$1:E72)+1,0)</f>
        <v>0</v>
      </c>
      <c r="F73" s="197">
        <f>IF(ISNUMBER(SEARCH('Карта учёта'!$B$14,Расходка[[#This Row],[Наименование расходного материала]])),MAX($F$1:F72)+1,0)</f>
        <v>0</v>
      </c>
      <c r="G73" s="197">
        <f>IF(ISNUMBER(SEARCH('Карта учёта'!$B$15,Расходка[[#This Row],[Наименование расходного материала]])),MAX($G$1:G72)+1,0)</f>
        <v>0</v>
      </c>
      <c r="H73" s="197">
        <f>IF(ISNUMBER(SEARCH('Карта учёта'!$B$16,Расходка[[#This Row],[Наименование расходного материала]])),MAX($H$1:H72)+1,0)</f>
        <v>0</v>
      </c>
      <c r="I73" s="197">
        <f>IF(ISNUMBER(SEARCH('Карта учёта'!$B$17,Расходка[[#This Row],[Наименование расходного материала]])),MAX($I$1:I72)+1,0)</f>
        <v>0</v>
      </c>
      <c r="J73" s="197">
        <f>IF(ISNUMBER(SEARCH('Карта учёта'!$B$18,Расходка[[#This Row],[Наименование расходного материала]])),MAX($J$1:J72)+1,0)</f>
        <v>0</v>
      </c>
      <c r="K73" s="197">
        <f>IF(ISNUMBER(SEARCH('Карта учёта'!$B$19,Расходка[[#This Row],[Наименование расходного материала]])),MAX($K$1:K72)+1,0)</f>
        <v>0</v>
      </c>
      <c r="L73" s="197">
        <f>IF(ISNUMBER(SEARCH('Карта учёта'!$B$20,Расходка[[#This Row],[Наименование расходного материала]])),MAX($L$1:L72)+1,0)</f>
        <v>0</v>
      </c>
      <c r="M73" s="197">
        <f>IF(ISNUMBER(SEARCH('Карта учёта'!$B$21,Расходка[[#This Row],[Наименование расходного материала]])),MAX($M$1:M72)+1,0)</f>
        <v>72</v>
      </c>
      <c r="N73" s="197">
        <f>IF(ISNUMBER(SEARCH('Карта учёта'!$B$22,Расходка[[#This Row],[Наименование расходного материала]])),MAX($N$1:N72)+1,0)</f>
        <v>72</v>
      </c>
      <c r="O73" s="197">
        <f>IF(ISNUMBER(SEARCH('Карта учёта'!$B$23,Расходка[[#This Row],[Наименование расходного материала]])),MAX($O$1:O72)+1,0)</f>
        <v>72</v>
      </c>
      <c r="P73" s="197">
        <f>IF(ISNUMBER(SEARCH('Карта учёта'!$B$24,Расходка[[#This Row],[Наименование расходного материала]])),MAX($P$1:P72)+1,0)</f>
        <v>72</v>
      </c>
      <c r="Q73" s="197">
        <f>IF(ISNUMBER(SEARCH('Карта учёта'!$B$25,Расходка[[#This Row],[Наименование расходного материала]])),MAX($Q$1:Q72)+1,0)</f>
        <v>72</v>
      </c>
      <c r="R73" s="198" t="str">
        <f>IFERROR(INDEX(Расходка[Наименование расходного материала],MATCH(Расходка[[#This Row],[№]],Поиск_расходки[Индекс1],0)),"")</f>
        <v/>
      </c>
      <c r="S73" s="198" t="str">
        <f>IFERROR(INDEX(Расходка[Наименование расходного материала],MATCH(Расходка[[#This Row],[№]],Поиск_расходки[Индекс2],0)),"")</f>
        <v/>
      </c>
      <c r="T73" s="198" t="str">
        <f>IFERROR(INDEX(Расходка[Наименование расходного материала],MATCH(Расходка[[#This Row],[№]],Поиск_расходки[Индекс3],0)),"")</f>
        <v/>
      </c>
      <c r="U73" s="198" t="str">
        <f>IFERROR(INDEX(Расходка[Наименование расходного материала],MATCH(Расходка[[#This Row],[№]],Поиск_расходки[Индекс4],0)),"")</f>
        <v/>
      </c>
      <c r="V73" s="198" t="str">
        <f>IFERROR(INDEX(Расходка[Наименование расходного материала],MATCH(Расходка[[#This Row],[№]],Поиск_расходки[Индекс5],0)),"")</f>
        <v/>
      </c>
      <c r="W73" s="198" t="str">
        <f>IFERROR(INDEX(Расходка[Наименование расходного материала],MATCH(Расходка[[#This Row],[№]],Поиск_расходки[Индекс6],0)),"")</f>
        <v/>
      </c>
      <c r="X73" s="198" t="str">
        <f>IFERROR(INDEX(Расходка[Наименование расходного материала],MATCH(Расходка[[#This Row],[№]],Поиск_расходки[Индекс7],0)),"")</f>
        <v/>
      </c>
      <c r="Y73" s="198" t="str">
        <f>IFERROR(INDEX(Расходка[Наименование расходного материала],MATCH(Расходка[[#This Row],[№]],Поиск_расходки[Индекс8],0)),"")</f>
        <v/>
      </c>
      <c r="Z73" s="198" t="str">
        <f>IFERROR(INDEX(Расходка[Наименование расходного материала],MATCH(Расходка[[#This Row],[№]],Поиск_расходки[Индекс9],0)),"")</f>
        <v>Launcher 7F JL 3.5</v>
      </c>
      <c r="AA73" s="198" t="str">
        <f>IFERROR(INDEX(Расходка[Наименование расходного материала],MATCH(Расходка[[#This Row],[№]],Поиск_расходки[Индекс10],0)),"")</f>
        <v>Launcher 7F JL 3.5</v>
      </c>
      <c r="AB73" s="198" t="str">
        <f>IFERROR(INDEX(Расходка[Наименование расходного материала],MATCH(Расходка[[#This Row],[№]],Поиск_расходки[Индекс11],0)),"")</f>
        <v>Launcher 7F JL 3.5</v>
      </c>
      <c r="AC73" s="198" t="str">
        <f>IFERROR(INDEX(Расходка[Наименование расходного материала],MATCH(Расходка[[#This Row],[№]],Поиск_расходки[Индекс12],0)),"")</f>
        <v>Launcher 7F JL 3.5</v>
      </c>
      <c r="AD73" s="198" t="str">
        <f>IFERROR(INDEX(Расходка[Наименование расходного материала],MATCH(Расходка[[#This Row],[№]],Поиск_расходки[Индекс13],0)),"")</f>
        <v>Launcher 7F JL 3.5</v>
      </c>
      <c r="AF73" s="4" t="s">
        <v>6</v>
      </c>
      <c r="AG73" s="4" t="s">
        <v>420</v>
      </c>
    </row>
    <row r="74" spans="1:33">
      <c r="A74">
        <v>73</v>
      </c>
      <c r="B74" t="s">
        <v>4</v>
      </c>
      <c r="C74" t="s">
        <v>340</v>
      </c>
      <c r="E74" s="197">
        <f>IF(ISNUMBER(SEARCH('Карта учёта'!$B$13,Расходка[[#This Row],[Наименование расходного материала]])),MAX($E$1:E73)+1,0)</f>
        <v>0</v>
      </c>
      <c r="F74" s="197">
        <f>IF(ISNUMBER(SEARCH('Карта учёта'!$B$14,Расходка[[#This Row],[Наименование расходного материала]])),MAX($F$1:F73)+1,0)</f>
        <v>0</v>
      </c>
      <c r="G74" s="197">
        <f>IF(ISNUMBER(SEARCH('Карта учёта'!$B$15,Расходка[[#This Row],[Наименование расходного материала]])),MAX($G$1:G73)+1,0)</f>
        <v>0</v>
      </c>
      <c r="H74" s="197">
        <f>IF(ISNUMBER(SEARCH('Карта учёта'!$B$16,Расходка[[#This Row],[Наименование расходного материала]])),MAX($H$1:H73)+1,0)</f>
        <v>0</v>
      </c>
      <c r="I74" s="197">
        <f>IF(ISNUMBER(SEARCH('Карта учёта'!$B$17,Расходка[[#This Row],[Наименование расходного материала]])),MAX($I$1:I73)+1,0)</f>
        <v>0</v>
      </c>
      <c r="J74" s="197">
        <f>IF(ISNUMBER(SEARCH('Карта учёта'!$B$18,Расходка[[#This Row],[Наименование расходного материала]])),MAX($J$1:J73)+1,0)</f>
        <v>0</v>
      </c>
      <c r="K74" s="197">
        <f>IF(ISNUMBER(SEARCH('Карта учёта'!$B$19,Расходка[[#This Row],[Наименование расходного материала]])),MAX($K$1:K73)+1,0)</f>
        <v>0</v>
      </c>
      <c r="L74" s="197">
        <f>IF(ISNUMBER(SEARCH('Карта учёта'!$B$20,Расходка[[#This Row],[Наименование расходного материала]])),MAX($L$1:L73)+1,0)</f>
        <v>0</v>
      </c>
      <c r="M74" s="197">
        <f>IF(ISNUMBER(SEARCH('Карта учёта'!$B$21,Расходка[[#This Row],[Наименование расходного материала]])),MAX($M$1:M73)+1,0)</f>
        <v>73</v>
      </c>
      <c r="N74" s="197">
        <f>IF(ISNUMBER(SEARCH('Карта учёта'!$B$22,Расходка[[#This Row],[Наименование расходного материала]])),MAX($N$1:N73)+1,0)</f>
        <v>73</v>
      </c>
      <c r="O74" s="197">
        <f>IF(ISNUMBER(SEARCH('Карта учёта'!$B$23,Расходка[[#This Row],[Наименование расходного материала]])),MAX($O$1:O73)+1,0)</f>
        <v>73</v>
      </c>
      <c r="P74" s="197">
        <f>IF(ISNUMBER(SEARCH('Карта учёта'!$B$24,Расходка[[#This Row],[Наименование расходного материала]])),MAX($P$1:P73)+1,0)</f>
        <v>73</v>
      </c>
      <c r="Q74" s="197">
        <f>IF(ISNUMBER(SEARCH('Карта учёта'!$B$25,Расходка[[#This Row],[Наименование расходного материала]])),MAX($Q$1:Q73)+1,0)</f>
        <v>73</v>
      </c>
      <c r="R74" s="198" t="str">
        <f>IFERROR(INDEX(Расходка[Наименование расходного материала],MATCH(Расходка[[#This Row],[№]],Поиск_расходки[Индекс1],0)),"")</f>
        <v/>
      </c>
      <c r="S74" s="198" t="str">
        <f>IFERROR(INDEX(Расходка[Наименование расходного материала],MATCH(Расходка[[#This Row],[№]],Поиск_расходки[Индекс2],0)),"")</f>
        <v/>
      </c>
      <c r="T74" s="198" t="str">
        <f>IFERROR(INDEX(Расходка[Наименование расходного материала],MATCH(Расходка[[#This Row],[№]],Поиск_расходки[Индекс3],0)),"")</f>
        <v/>
      </c>
      <c r="U74" s="198" t="str">
        <f>IFERROR(INDEX(Расходка[Наименование расходного материала],MATCH(Расходка[[#This Row],[№]],Поиск_расходки[Индекс4],0)),"")</f>
        <v/>
      </c>
      <c r="V74" s="198" t="str">
        <f>IFERROR(INDEX(Расходка[Наименование расходного материала],MATCH(Расходка[[#This Row],[№]],Поиск_расходки[Индекс5],0)),"")</f>
        <v/>
      </c>
      <c r="W74" s="198" t="str">
        <f>IFERROR(INDEX(Расходка[Наименование расходного материала],MATCH(Расходка[[#This Row],[№]],Поиск_расходки[Индекс6],0)),"")</f>
        <v/>
      </c>
      <c r="X74" s="198" t="str">
        <f>IFERROR(INDEX(Расходка[Наименование расходного материала],MATCH(Расходка[[#This Row],[№]],Поиск_расходки[Индекс7],0)),"")</f>
        <v/>
      </c>
      <c r="Y74" s="198" t="str">
        <f>IFERROR(INDEX(Расходка[Наименование расходного материала],MATCH(Расходка[[#This Row],[№]],Поиск_расходки[Индекс8],0)),"")</f>
        <v/>
      </c>
      <c r="Z74" s="198" t="str">
        <f>IFERROR(INDEX(Расходка[Наименование расходного материала],MATCH(Расходка[[#This Row],[№]],Поиск_расходки[Индекс9],0)),"")</f>
        <v>Launcher 7F JL 4.0</v>
      </c>
      <c r="AA74" s="198" t="str">
        <f>IFERROR(INDEX(Расходка[Наименование расходного материала],MATCH(Расходка[[#This Row],[№]],Поиск_расходки[Индекс10],0)),"")</f>
        <v>Launcher 7F JL 4.0</v>
      </c>
      <c r="AB74" s="198" t="str">
        <f>IFERROR(INDEX(Расходка[Наименование расходного материала],MATCH(Расходка[[#This Row],[№]],Поиск_расходки[Индекс11],0)),"")</f>
        <v>Launcher 7F JL 4.0</v>
      </c>
      <c r="AC74" s="198" t="str">
        <f>IFERROR(INDEX(Расходка[Наименование расходного материала],MATCH(Расходка[[#This Row],[№]],Поиск_расходки[Индекс12],0)),"")</f>
        <v>Launcher 7F JL 4.0</v>
      </c>
      <c r="AD74" s="198" t="str">
        <f>IFERROR(INDEX(Расходка[Наименование расходного материала],MATCH(Расходка[[#This Row],[№]],Поиск_расходки[Индекс13],0)),"")</f>
        <v>Launcher 7F JL 4.0</v>
      </c>
      <c r="AF74" s="4" t="s">
        <v>6</v>
      </c>
      <c r="AG74" s="4" t="s">
        <v>466</v>
      </c>
    </row>
    <row r="75" spans="1:33">
      <c r="A75">
        <v>74</v>
      </c>
      <c r="B75" t="s">
        <v>301</v>
      </c>
      <c r="C75" s="1" t="s">
        <v>332</v>
      </c>
      <c r="E75" s="197">
        <f>IF(ISNUMBER(SEARCH('Карта учёта'!$B$13,Расходка[[#This Row],[Наименование расходного материала]])),MAX($E$1:E74)+1,0)</f>
        <v>0</v>
      </c>
      <c r="F75" s="197">
        <f>IF(ISNUMBER(SEARCH('Карта учёта'!$B$14,Расходка[[#This Row],[Наименование расходного материала]])),MAX($F$1:F74)+1,0)</f>
        <v>0</v>
      </c>
      <c r="G75" s="197">
        <f>IF(ISNUMBER(SEARCH('Карта учёта'!$B$15,Расходка[[#This Row],[Наименование расходного материала]])),MAX($G$1:G74)+1,0)</f>
        <v>0</v>
      </c>
      <c r="H75" s="197">
        <f>IF(ISNUMBER(SEARCH('Карта учёта'!$B$16,Расходка[[#This Row],[Наименование расходного материала]])),MAX($H$1:H74)+1,0)</f>
        <v>0</v>
      </c>
      <c r="I75" s="197">
        <f>IF(ISNUMBER(SEARCH('Карта учёта'!$B$17,Расходка[[#This Row],[Наименование расходного материала]])),MAX($I$1:I74)+1,0)</f>
        <v>0</v>
      </c>
      <c r="J75" s="197">
        <f>IF(ISNUMBER(SEARCH('Карта учёта'!$B$18,Расходка[[#This Row],[Наименование расходного материала]])),MAX($J$1:J74)+1,0)</f>
        <v>0</v>
      </c>
      <c r="K75" s="197">
        <f>IF(ISNUMBER(SEARCH('Карта учёта'!$B$19,Расходка[[#This Row],[Наименование расходного материала]])),MAX($K$1:K74)+1,0)</f>
        <v>0</v>
      </c>
      <c r="L75" s="197">
        <f>IF(ISNUMBER(SEARCH('Карта учёта'!$B$20,Расходка[[#This Row],[Наименование расходного материала]])),MAX($L$1:L74)+1,0)</f>
        <v>0</v>
      </c>
      <c r="M75" s="197">
        <f>IF(ISNUMBER(SEARCH('Карта учёта'!$B$21,Расходка[[#This Row],[Наименование расходного материала]])),MAX($M$1:M74)+1,0)</f>
        <v>74</v>
      </c>
      <c r="N75" s="197">
        <f>IF(ISNUMBER(SEARCH('Карта учёта'!$B$22,Расходка[[#This Row],[Наименование расходного материала]])),MAX($N$1:N74)+1,0)</f>
        <v>74</v>
      </c>
      <c r="O75" s="197">
        <f>IF(ISNUMBER(SEARCH('Карта учёта'!$B$23,Расходка[[#This Row],[Наименование расходного материала]])),MAX($O$1:O74)+1,0)</f>
        <v>74</v>
      </c>
      <c r="P75" s="197">
        <f>IF(ISNUMBER(SEARCH('Карта учёта'!$B$24,Расходка[[#This Row],[Наименование расходного материала]])),MAX($P$1:P74)+1,0)</f>
        <v>74</v>
      </c>
      <c r="Q75" s="197">
        <f>IF(ISNUMBER(SEARCH('Карта учёта'!$B$25,Расходка[[#This Row],[Наименование расходного материала]])),MAX($Q$1:Q74)+1,0)</f>
        <v>74</v>
      </c>
      <c r="R75" s="198" t="str">
        <f>IFERROR(INDEX(Расходка[Наименование расходного материала],MATCH(Расходка[[#This Row],[№]],Поиск_расходки[Индекс1],0)),"")</f>
        <v/>
      </c>
      <c r="S75" s="198" t="str">
        <f>IFERROR(INDEX(Расходка[Наименование расходного материала],MATCH(Расходка[[#This Row],[№]],Поиск_расходки[Индекс2],0)),"")</f>
        <v/>
      </c>
      <c r="T75" s="198" t="str">
        <f>IFERROR(INDEX(Расходка[Наименование расходного материала],MATCH(Расходка[[#This Row],[№]],Поиск_расходки[Индекс3],0)),"")</f>
        <v/>
      </c>
      <c r="U75" s="198" t="str">
        <f>IFERROR(INDEX(Расходка[Наименование расходного материала],MATCH(Расходка[[#This Row],[№]],Поиск_расходки[Индекс4],0)),"")</f>
        <v/>
      </c>
      <c r="V75" s="198" t="str">
        <f>IFERROR(INDEX(Расходка[Наименование расходного материала],MATCH(Расходка[[#This Row],[№]],Поиск_расходки[Индекс5],0)),"")</f>
        <v/>
      </c>
      <c r="W75" s="198" t="str">
        <f>IFERROR(INDEX(Расходка[Наименование расходного материала],MATCH(Расходка[[#This Row],[№]],Поиск_расходки[Индекс6],0)),"")</f>
        <v/>
      </c>
      <c r="X75" s="198" t="str">
        <f>IFERROR(INDEX(Расходка[Наименование расходного материала],MATCH(Расходка[[#This Row],[№]],Поиск_расходки[Индекс7],0)),"")</f>
        <v/>
      </c>
      <c r="Y75" s="198" t="str">
        <f>IFERROR(INDEX(Расходка[Наименование расходного материала],MATCH(Расходка[[#This Row],[№]],Поиск_расходки[Индекс8],0)),"")</f>
        <v/>
      </c>
      <c r="Z75" s="198" t="str">
        <f>IFERROR(INDEX(Расходка[Наименование расходного материала],MATCH(Расходка[[#This Row],[№]],Поиск_расходки[Индекс9],0)),"")</f>
        <v>Angio-Seal™ VIP</v>
      </c>
      <c r="AA75" s="198" t="str">
        <f>IFERROR(INDEX(Расходка[Наименование расходного материала],MATCH(Расходка[[#This Row],[№]],Поиск_расходки[Индекс10],0)),"")</f>
        <v>Angio-Seal™ VIP</v>
      </c>
      <c r="AB75" s="198" t="str">
        <f>IFERROR(INDEX(Расходка[Наименование расходного материала],MATCH(Расходка[[#This Row],[№]],Поиск_расходки[Индекс11],0)),"")</f>
        <v>Angio-Seal™ VIP</v>
      </c>
      <c r="AC75" s="198" t="str">
        <f>IFERROR(INDEX(Расходка[Наименование расходного материала],MATCH(Расходка[[#This Row],[№]],Поиск_расходки[Индекс12],0)),"")</f>
        <v>Angio-Seal™ VIP</v>
      </c>
      <c r="AD75" s="198" t="str">
        <f>IFERROR(INDEX(Расходка[Наименование расходного материала],MATCH(Расходка[[#This Row],[№]],Поиск_расходки[Индекс13],0)),"")</f>
        <v>Angio-Seal™ VIP</v>
      </c>
      <c r="AF75" s="4" t="s">
        <v>6</v>
      </c>
      <c r="AG75" s="4" t="s">
        <v>467</v>
      </c>
    </row>
    <row r="76" spans="1:33">
      <c r="E76" s="197">
        <f>IF(ISNUMBER(SEARCH('Карта учёта'!$B$13,Расходка[[#This Row],[Наименование расходного материала]])),MAX($E$1:E75)+1,0)</f>
        <v>0</v>
      </c>
      <c r="F76" s="197">
        <f>IF(ISNUMBER(SEARCH('Карта учёта'!$B$14,Расходка[[#This Row],[Наименование расходного материала]])),MAX($F$1:F75)+1,0)</f>
        <v>0</v>
      </c>
      <c r="G76" s="197">
        <f>IF(ISNUMBER(SEARCH('Карта учёта'!$B$15,Расходка[[#This Row],[Наименование расходного материала]])),MAX($G$1:G75)+1,0)</f>
        <v>0</v>
      </c>
      <c r="H76" s="197">
        <f>IF(ISNUMBER(SEARCH('Карта учёта'!$B$16,Расходка[[#This Row],[Наименование расходного материала]])),MAX($H$1:H75)+1,0)</f>
        <v>0</v>
      </c>
      <c r="I76" s="197">
        <f>IF(ISNUMBER(SEARCH('Карта учёта'!$B$17,Расходка[[#This Row],[Наименование расходного материала]])),MAX($I$1:I75)+1,0)</f>
        <v>0</v>
      </c>
      <c r="J76" s="197">
        <f>IF(ISNUMBER(SEARCH('Карта учёта'!$B$18,Расходка[[#This Row],[Наименование расходного материала]])),MAX($J$1:J75)+1,0)</f>
        <v>0</v>
      </c>
      <c r="K76" s="197">
        <f>IF(ISNUMBER(SEARCH('Карта учёта'!$B$19,Расходка[[#This Row],[Наименование расходного материала]])),MAX($K$1:K75)+1,0)</f>
        <v>0</v>
      </c>
      <c r="L76" s="197">
        <f>IF(ISNUMBER(SEARCH('Карта учёта'!$B$20,Расходка[[#This Row],[Наименование расходного материала]])),MAX($L$1:L75)+1,0)</f>
        <v>0</v>
      </c>
      <c r="M76" s="197">
        <f>IF(ISNUMBER(SEARCH('Карта учёта'!$B$21,Расходка[[#This Row],[Наименование расходного материала]])),MAX($M$1:M75)+1,0)</f>
        <v>0</v>
      </c>
      <c r="N76" s="197">
        <f>IF(ISNUMBER(SEARCH('Карта учёта'!$B$22,Расходка[[#This Row],[Наименование расходного материала]])),MAX($N$1:N75)+1,0)</f>
        <v>0</v>
      </c>
      <c r="O76" s="197">
        <f>IF(ISNUMBER(SEARCH('Карта учёта'!$B$23,Расходка[[#This Row],[Наименование расходного материала]])),MAX($O$1:O75)+1,0)</f>
        <v>0</v>
      </c>
      <c r="P76" s="197">
        <f>IF(ISNUMBER(SEARCH('Карта учёта'!$B$24,Расходка[[#This Row],[Наименование расходного материала]])),MAX($P$1:P75)+1,0)</f>
        <v>0</v>
      </c>
      <c r="Q76" s="197">
        <f>IF(ISNUMBER(SEARCH('Карта учёта'!$B$25,Расходка[[#This Row],[Наименование расходного материала]])),MAX($Q$1:Q75)+1,0)</f>
        <v>0</v>
      </c>
      <c r="R76" s="198" t="str">
        <f>IFERROR(INDEX(Расходка[Наименование расходного материала],MATCH(Расходка[[#This Row],[№]],Поиск_расходки[Индекс1],0)),"")</f>
        <v/>
      </c>
      <c r="S76" s="198" t="str">
        <f>IFERROR(INDEX(Расходка[Наименование расходного материала],MATCH(Расходка[[#This Row],[№]],Поиск_расходки[Индекс2],0)),"")</f>
        <v/>
      </c>
      <c r="T76" s="198" t="str">
        <f>IFERROR(INDEX(Расходка[Наименование расходного материала],MATCH(Расходка[[#This Row],[№]],Поиск_расходки[Индекс3],0)),"")</f>
        <v/>
      </c>
      <c r="U76" s="198" t="str">
        <f>IFERROR(INDEX(Расходка[Наименование расходного материала],MATCH(Расходка[[#This Row],[№]],Поиск_расходки[Индекс4],0)),"")</f>
        <v/>
      </c>
      <c r="V76" s="198" t="str">
        <f>IFERROR(INDEX(Расходка[Наименование расходного материала],MATCH(Расходка[[#This Row],[№]],Поиск_расходки[Индекс5],0)),"")</f>
        <v/>
      </c>
      <c r="W76" s="198" t="str">
        <f>IFERROR(INDEX(Расходка[Наименование расходного материала],MATCH(Расходка[[#This Row],[№]],Поиск_расходки[Индекс6],0)),"")</f>
        <v/>
      </c>
      <c r="X76" s="198" t="str">
        <f>IFERROR(INDEX(Расходка[Наименование расходного материала],MATCH(Расходка[[#This Row],[№]],Поиск_расходки[Индекс7],0)),"")</f>
        <v/>
      </c>
      <c r="Y76" s="198" t="str">
        <f>IFERROR(INDEX(Расходка[Наименование расходного материала],MATCH(Расходка[[#This Row],[№]],Поиск_расходки[Индекс8],0)),"")</f>
        <v/>
      </c>
      <c r="Z76" s="198" t="str">
        <f>IFERROR(INDEX(Расходка[Наименование расходного материала],MATCH(Расходка[[#This Row],[№]],Поиск_расходки[Индекс9],0)),"")</f>
        <v/>
      </c>
      <c r="AA76" s="198" t="str">
        <f>IFERROR(INDEX(Расходка[Наименование расходного материала],MATCH(Расходка[[#This Row],[№]],Поиск_расходки[Индекс10],0)),"")</f>
        <v/>
      </c>
      <c r="AB76" s="198" t="str">
        <f>IFERROR(INDEX(Расходка[Наименование расходного материала],MATCH(Расходка[[#This Row],[№]],Поиск_расходки[Индекс11],0)),"")</f>
        <v/>
      </c>
      <c r="AC76" s="198" t="str">
        <f>IFERROR(INDEX(Расходка[Наименование расходного материала],MATCH(Расходка[[#This Row],[№]],Поиск_расходки[Индекс12],0)),"")</f>
        <v/>
      </c>
      <c r="AD76" s="198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468</v>
      </c>
    </row>
    <row r="77" spans="1:33">
      <c r="E77" s="197">
        <f>IF(ISNUMBER(SEARCH('Карта учёта'!$B$13,Расходка[[#This Row],[Наименование расходного материала]])),MAX($E$1:E76)+1,0)</f>
        <v>0</v>
      </c>
      <c r="F77" s="197">
        <f>IF(ISNUMBER(SEARCH('Карта учёта'!$B$14,Расходка[[#This Row],[Наименование расходного материала]])),MAX($F$1:F76)+1,0)</f>
        <v>0</v>
      </c>
      <c r="G77" s="197">
        <f>IF(ISNUMBER(SEARCH('Карта учёта'!$B$15,Расходка[[#This Row],[Наименование расходного материала]])),MAX($G$1:G76)+1,0)</f>
        <v>0</v>
      </c>
      <c r="H77" s="197">
        <f>IF(ISNUMBER(SEARCH('Карта учёта'!$B$16,Расходка[[#This Row],[Наименование расходного материала]])),MAX($H$1:H76)+1,0)</f>
        <v>0</v>
      </c>
      <c r="I77" s="197">
        <f>IF(ISNUMBER(SEARCH('Карта учёта'!$B$17,Расходка[[#This Row],[Наименование расходного материала]])),MAX($I$1:I76)+1,0)</f>
        <v>0</v>
      </c>
      <c r="J77" s="197">
        <f>IF(ISNUMBER(SEARCH('Карта учёта'!$B$18,Расходка[[#This Row],[Наименование расходного материала]])),MAX($J$1:J76)+1,0)</f>
        <v>0</v>
      </c>
      <c r="K77" s="197">
        <f>IF(ISNUMBER(SEARCH('Карта учёта'!$B$19,Расходка[[#This Row],[Наименование расходного материала]])),MAX($K$1:K76)+1,0)</f>
        <v>0</v>
      </c>
      <c r="L77" s="197">
        <f>IF(ISNUMBER(SEARCH('Карта учёта'!$B$20,Расходка[[#This Row],[Наименование расходного материала]])),MAX($L$1:L76)+1,0)</f>
        <v>0</v>
      </c>
      <c r="M77" s="197">
        <f>IF(ISNUMBER(SEARCH('Карта учёта'!$B$21,Расходка[[#This Row],[Наименование расходного материала]])),MAX($M$1:M76)+1,0)</f>
        <v>0</v>
      </c>
      <c r="N77" s="197">
        <f>IF(ISNUMBER(SEARCH('Карта учёта'!$B$22,Расходка[[#This Row],[Наименование расходного материала]])),MAX($N$1:N76)+1,0)</f>
        <v>0</v>
      </c>
      <c r="O77" s="197">
        <f>IF(ISNUMBER(SEARCH('Карта учёта'!$B$23,Расходка[[#This Row],[Наименование расходного материала]])),MAX($O$1:O76)+1,0)</f>
        <v>0</v>
      </c>
      <c r="P77" s="197">
        <f>IF(ISNUMBER(SEARCH('Карта учёта'!$B$24,Расходка[[#This Row],[Наименование расходного материала]])),MAX($P$1:P76)+1,0)</f>
        <v>0</v>
      </c>
      <c r="Q77" s="197">
        <f>IF(ISNUMBER(SEARCH('Карта учёта'!$B$25,Расходка[[#This Row],[Наименование расходного материала]])),MAX($Q$1:Q76)+1,0)</f>
        <v>0</v>
      </c>
      <c r="R77" s="198" t="str">
        <f>IFERROR(INDEX(Расходка[Наименование расходного материала],MATCH(Расходка[[#This Row],[№]],Поиск_расходки[Индекс1],0)),"")</f>
        <v/>
      </c>
      <c r="S77" s="198" t="str">
        <f>IFERROR(INDEX(Расходка[Наименование расходного материала],MATCH(Расходка[[#This Row],[№]],Поиск_расходки[Индекс2],0)),"")</f>
        <v/>
      </c>
      <c r="T77" s="198" t="str">
        <f>IFERROR(INDEX(Расходка[Наименование расходного материала],MATCH(Расходка[[#This Row],[№]],Поиск_расходки[Индекс3],0)),"")</f>
        <v/>
      </c>
      <c r="U77" s="198" t="str">
        <f>IFERROR(INDEX(Расходка[Наименование расходного материала],MATCH(Расходка[[#This Row],[№]],Поиск_расходки[Индекс4],0)),"")</f>
        <v/>
      </c>
      <c r="V77" s="198" t="str">
        <f>IFERROR(INDEX(Расходка[Наименование расходного материала],MATCH(Расходка[[#This Row],[№]],Поиск_расходки[Индекс5],0)),"")</f>
        <v/>
      </c>
      <c r="W77" s="198" t="str">
        <f>IFERROR(INDEX(Расходка[Наименование расходного материала],MATCH(Расходка[[#This Row],[№]],Поиск_расходки[Индекс6],0)),"")</f>
        <v/>
      </c>
      <c r="X77" s="198" t="str">
        <f>IFERROR(INDEX(Расходка[Наименование расходного материала],MATCH(Расходка[[#This Row],[№]],Поиск_расходки[Индекс7],0)),"")</f>
        <v/>
      </c>
      <c r="Y77" s="198" t="str">
        <f>IFERROR(INDEX(Расходка[Наименование расходного материала],MATCH(Расходка[[#This Row],[№]],Поиск_расходки[Индекс8],0)),"")</f>
        <v/>
      </c>
      <c r="Z77" s="198" t="str">
        <f>IFERROR(INDEX(Расходка[Наименование расходного материала],MATCH(Расходка[[#This Row],[№]],Поиск_расходки[Индекс9],0)),"")</f>
        <v/>
      </c>
      <c r="AA77" s="198" t="str">
        <f>IFERROR(INDEX(Расходка[Наименование расходного материала],MATCH(Расходка[[#This Row],[№]],Поиск_расходки[Индекс10],0)),"")</f>
        <v/>
      </c>
      <c r="AB77" s="198" t="str">
        <f>IFERROR(INDEX(Расходка[Наименование расходного материала],MATCH(Расходка[[#This Row],[№]],Поиск_расходки[Индекс11],0)),"")</f>
        <v/>
      </c>
      <c r="AC77" s="198" t="str">
        <f>IFERROR(INDEX(Расходка[Наименование расходного материала],MATCH(Расходка[[#This Row],[№]],Поиск_расходки[Индекс12],0)),"")</f>
        <v/>
      </c>
      <c r="AD77" s="198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469</v>
      </c>
    </row>
    <row r="78" spans="1:33">
      <c r="E78" s="197">
        <f>IF(ISNUMBER(SEARCH('Карта учёта'!$B$13,Расходка[[#This Row],[Наименование расходного материала]])),MAX($E$1:E77)+1,0)</f>
        <v>0</v>
      </c>
      <c r="F78" s="197">
        <f>IF(ISNUMBER(SEARCH('Карта учёта'!$B$14,Расходка[[#This Row],[Наименование расходного материала]])),MAX($F$1:F77)+1,0)</f>
        <v>0</v>
      </c>
      <c r="G78" s="197">
        <f>IF(ISNUMBER(SEARCH('Карта учёта'!$B$15,Расходка[[#This Row],[Наименование расходного материала]])),MAX($G$1:G77)+1,0)</f>
        <v>0</v>
      </c>
      <c r="H78" s="197">
        <f>IF(ISNUMBER(SEARCH('Карта учёта'!$B$16,Расходка[[#This Row],[Наименование расходного материала]])),MAX($H$1:H77)+1,0)</f>
        <v>0</v>
      </c>
      <c r="I78" s="197">
        <f>IF(ISNUMBER(SEARCH('Карта учёта'!$B$17,Расходка[[#This Row],[Наименование расходного материала]])),MAX($I$1:I77)+1,0)</f>
        <v>0</v>
      </c>
      <c r="J78" s="197">
        <f>IF(ISNUMBER(SEARCH('Карта учёта'!$B$18,Расходка[[#This Row],[Наименование расходного материала]])),MAX($J$1:J77)+1,0)</f>
        <v>0</v>
      </c>
      <c r="K78" s="197">
        <f>IF(ISNUMBER(SEARCH('Карта учёта'!$B$19,Расходка[[#This Row],[Наименование расходного материала]])),MAX($K$1:K77)+1,0)</f>
        <v>0</v>
      </c>
      <c r="L78" s="197">
        <f>IF(ISNUMBER(SEARCH('Карта учёта'!$B$20,Расходка[[#This Row],[Наименование расходного материала]])),MAX($L$1:L77)+1,0)</f>
        <v>0</v>
      </c>
      <c r="M78" s="197">
        <f>IF(ISNUMBER(SEARCH('Карта учёта'!$B$21,Расходка[[#This Row],[Наименование расходного материала]])),MAX($M$1:M77)+1,0)</f>
        <v>0</v>
      </c>
      <c r="N78" s="197">
        <f>IF(ISNUMBER(SEARCH('Карта учёта'!$B$22,Расходка[[#This Row],[Наименование расходного материала]])),MAX($N$1:N77)+1,0)</f>
        <v>0</v>
      </c>
      <c r="O78" s="197">
        <f>IF(ISNUMBER(SEARCH('Карта учёта'!$B$23,Расходка[[#This Row],[Наименование расходного материала]])),MAX($O$1:O77)+1,0)</f>
        <v>0</v>
      </c>
      <c r="P78" s="197">
        <f>IF(ISNUMBER(SEARCH('Карта учёта'!$B$24,Расходка[[#This Row],[Наименование расходного материала]])),MAX($P$1:P77)+1,0)</f>
        <v>0</v>
      </c>
      <c r="Q78" s="197">
        <f>IF(ISNUMBER(SEARCH('Карта учёта'!$B$25,Расходка[[#This Row],[Наименование расходного материала]])),MAX($Q$1:Q77)+1,0)</f>
        <v>0</v>
      </c>
      <c r="R78" s="198" t="str">
        <f>IFERROR(INDEX(Расходка[Наименование расходного материала],MATCH(Расходка[[#This Row],[№]],Поиск_расходки[Индекс1],0)),"")</f>
        <v/>
      </c>
      <c r="S78" s="198" t="str">
        <f>IFERROR(INDEX(Расходка[Наименование расходного материала],MATCH(Расходка[[#This Row],[№]],Поиск_расходки[Индекс2],0)),"")</f>
        <v/>
      </c>
      <c r="T78" s="198" t="str">
        <f>IFERROR(INDEX(Расходка[Наименование расходного материала],MATCH(Расходка[[#This Row],[№]],Поиск_расходки[Индекс3],0)),"")</f>
        <v/>
      </c>
      <c r="U78" s="198" t="str">
        <f>IFERROR(INDEX(Расходка[Наименование расходного материала],MATCH(Расходка[[#This Row],[№]],Поиск_расходки[Индекс4],0)),"")</f>
        <v/>
      </c>
      <c r="V78" s="198" t="str">
        <f>IFERROR(INDEX(Расходка[Наименование расходного материала],MATCH(Расходка[[#This Row],[№]],Поиск_расходки[Индекс5],0)),"")</f>
        <v/>
      </c>
      <c r="W78" s="198" t="str">
        <f>IFERROR(INDEX(Расходка[Наименование расходного материала],MATCH(Расходка[[#This Row],[№]],Поиск_расходки[Индекс6],0)),"")</f>
        <v/>
      </c>
      <c r="X78" s="198" t="str">
        <f>IFERROR(INDEX(Расходка[Наименование расходного материала],MATCH(Расходка[[#This Row],[№]],Поиск_расходки[Индекс7],0)),"")</f>
        <v/>
      </c>
      <c r="Y78" s="198" t="str">
        <f>IFERROR(INDEX(Расходка[Наименование расходного материала],MATCH(Расходка[[#This Row],[№]],Поиск_расходки[Индекс8],0)),"")</f>
        <v/>
      </c>
      <c r="Z78" s="198" t="str">
        <f>IFERROR(INDEX(Расходка[Наименование расходного материала],MATCH(Расходка[[#This Row],[№]],Поиск_расходки[Индекс9],0)),"")</f>
        <v/>
      </c>
      <c r="AA78" s="198" t="str">
        <f>IFERROR(INDEX(Расходка[Наименование расходного материала],MATCH(Расходка[[#This Row],[№]],Поиск_расходки[Индекс10],0)),"")</f>
        <v/>
      </c>
      <c r="AB78" s="198" t="str">
        <f>IFERROR(INDEX(Расходка[Наименование расходного материала],MATCH(Расходка[[#This Row],[№]],Поиск_расходки[Индекс11],0)),"")</f>
        <v/>
      </c>
      <c r="AC78" s="198" t="str">
        <f>IFERROR(INDEX(Расходка[Наименование расходного материала],MATCH(Расходка[[#This Row],[№]],Поиск_расходки[Индекс12],0)),"")</f>
        <v/>
      </c>
      <c r="AD78" s="198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470</v>
      </c>
    </row>
    <row r="79" spans="1:33">
      <c r="AF79" s="4" t="s">
        <v>6</v>
      </c>
      <c r="AG79" s="4" t="s">
        <v>471</v>
      </c>
    </row>
    <row r="80" spans="1:33">
      <c r="AF80" s="4" t="s">
        <v>6</v>
      </c>
      <c r="AG80" s="4" t="s">
        <v>472</v>
      </c>
    </row>
    <row r="81" spans="32:33">
      <c r="AF81" s="4" t="s">
        <v>6</v>
      </c>
      <c r="AG81" s="4" t="s">
        <v>473</v>
      </c>
    </row>
    <row r="82" spans="32:33">
      <c r="AF82" s="4" t="s">
        <v>6</v>
      </c>
      <c r="AG82" s="4" t="s">
        <v>474</v>
      </c>
    </row>
    <row r="83" spans="32:33">
      <c r="AF83" s="4" t="s">
        <v>6</v>
      </c>
      <c r="AG83" s="4" t="s">
        <v>475</v>
      </c>
    </row>
    <row r="84" spans="32:33">
      <c r="AF84" s="4" t="s">
        <v>6</v>
      </c>
      <c r="AG84" s="4" t="s">
        <v>426</v>
      </c>
    </row>
    <row r="85" spans="32:33">
      <c r="AF85" s="4" t="s">
        <v>6</v>
      </c>
      <c r="AG85" s="4" t="s">
        <v>427</v>
      </c>
    </row>
    <row r="86" spans="32:33">
      <c r="AF86" s="4" t="s">
        <v>6</v>
      </c>
      <c r="AG86" s="4" t="s">
        <v>476</v>
      </c>
    </row>
    <row r="87" spans="32:33">
      <c r="AF87" s="4" t="s">
        <v>6</v>
      </c>
      <c r="AG87" s="4" t="s">
        <v>477</v>
      </c>
    </row>
    <row r="88" spans="32:33">
      <c r="AF88" s="4" t="s">
        <v>6</v>
      </c>
      <c r="AG88" s="4" t="s">
        <v>478</v>
      </c>
    </row>
    <row r="89" spans="32:33">
      <c r="AF89" s="4" t="s">
        <v>6</v>
      </c>
      <c r="AG89" s="4" t="s">
        <v>479</v>
      </c>
    </row>
    <row r="90" spans="32:33">
      <c r="AF90" s="4" t="s">
        <v>6</v>
      </c>
      <c r="AG90" s="4" t="s">
        <v>480</v>
      </c>
    </row>
    <row r="91" spans="32:33">
      <c r="AF91" s="4" t="s">
        <v>6</v>
      </c>
      <c r="AG91" s="4" t="s">
        <v>481</v>
      </c>
    </row>
    <row r="92" spans="32:33">
      <c r="AF92" s="4" t="s">
        <v>6</v>
      </c>
      <c r="AG92" s="4" t="s">
        <v>482</v>
      </c>
    </row>
    <row r="93" spans="32:33">
      <c r="AF93" s="4" t="s">
        <v>6</v>
      </c>
      <c r="AG93" s="4" t="s">
        <v>483</v>
      </c>
    </row>
    <row r="94" spans="32:33">
      <c r="AF94" s="4" t="s">
        <v>6</v>
      </c>
      <c r="AG94" s="4" t="s">
        <v>430</v>
      </c>
    </row>
    <row r="95" spans="32:33">
      <c r="AF95" s="4" t="s">
        <v>6</v>
      </c>
      <c r="AG95" s="4" t="s">
        <v>431</v>
      </c>
    </row>
    <row r="96" spans="32:33">
      <c r="AF96" s="4" t="s">
        <v>6</v>
      </c>
      <c r="AG96" s="4" t="s">
        <v>484</v>
      </c>
    </row>
    <row r="97" spans="32:33">
      <c r="AF97" s="4" t="s">
        <v>6</v>
      </c>
      <c r="AG97" s="4" t="s">
        <v>485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517</v>
      </c>
      <c r="C15" s="202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2"/>
    </row>
    <row r="20" spans="1:3">
      <c r="C20" s="202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508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505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1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2024-07-25T19:23:08Z</cp:lastPrinted>
  <dcterms:created xsi:type="dcterms:W3CDTF">2015-06-05T18:19:34Z</dcterms:created>
  <dcterms:modified xsi:type="dcterms:W3CDTF">2024-08-02T15:37:47Z</dcterms:modified>
</cp:coreProperties>
</file>