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9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6" i="1" l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Q7" i="1"/>
  <c r="J7" i="1"/>
  <c r="G8" i="1"/>
  <c r="N9" i="1"/>
  <c r="I7" i="1"/>
  <c r="F7" i="1"/>
  <c r="M7" i="1"/>
  <c r="H8" i="1"/>
  <c r="L9" i="1"/>
  <c r="K8" i="1"/>
  <c r="E9" i="1" l="1"/>
  <c r="E10" i="1" s="1"/>
  <c r="O9" i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E69" i="1" l="1"/>
  <c r="E70" i="1" s="1"/>
  <c r="E71" i="1" s="1"/>
  <c r="E72" i="1" s="1"/>
  <c r="E73" i="1" s="1"/>
  <c r="E74" i="1" s="1"/>
  <c r="E75" i="1" s="1"/>
  <c r="O63" i="1"/>
  <c r="P2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R67" i="1" l="1"/>
  <c r="R59" i="1"/>
  <c r="R60" i="1"/>
  <c r="R71" i="1"/>
  <c r="R73" i="1"/>
  <c r="R61" i="1"/>
  <c r="R66" i="1"/>
  <c r="R58" i="1"/>
  <c r="R57" i="1"/>
  <c r="R70" i="1"/>
  <c r="R65" i="1"/>
  <c r="R68" i="1"/>
  <c r="R56" i="1"/>
  <c r="R63" i="1"/>
  <c r="R62" i="1"/>
  <c r="R69" i="1"/>
  <c r="R72" i="1"/>
  <c r="R64" i="1"/>
  <c r="R74" i="1"/>
  <c r="R75" i="1"/>
  <c r="O64" i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S56" i="1" s="1"/>
  <c r="H75" i="1"/>
  <c r="U43" i="1" s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6" i="1" l="1"/>
  <c r="S50" i="1"/>
  <c r="S13" i="1"/>
  <c r="S20" i="1"/>
  <c r="S25" i="1"/>
  <c r="S68" i="1"/>
  <c r="S45" i="1"/>
  <c r="S28" i="1"/>
  <c r="S15" i="1"/>
  <c r="S36" i="1"/>
  <c r="S21" i="1"/>
  <c r="S3" i="1"/>
  <c r="S39" i="1"/>
  <c r="S46" i="1"/>
  <c r="S75" i="1"/>
  <c r="S64" i="1"/>
  <c r="S70" i="1"/>
  <c r="U67" i="1"/>
  <c r="S30" i="1"/>
  <c r="S10" i="1"/>
  <c r="S29" i="1"/>
  <c r="S8" i="1"/>
  <c r="S31" i="1"/>
  <c r="S12" i="1"/>
  <c r="S11" i="1"/>
  <c r="S35" i="1"/>
  <c r="S4" i="1"/>
  <c r="S43" i="1"/>
  <c r="S57" i="1"/>
  <c r="S62" i="1"/>
  <c r="S49" i="1"/>
  <c r="S51" i="1"/>
  <c r="S52" i="1"/>
  <c r="S48" i="1"/>
  <c r="S44" i="1"/>
  <c r="S32" i="1"/>
  <c r="S33" i="1"/>
  <c r="S17" i="1"/>
  <c r="S18" i="1"/>
  <c r="S24" i="1"/>
  <c r="S9" i="1"/>
  <c r="S26" i="1"/>
  <c r="S16" i="1"/>
  <c r="S34" i="1"/>
  <c r="S38" i="1"/>
  <c r="S22" i="1"/>
  <c r="S7" i="1"/>
  <c r="S14" i="1"/>
  <c r="S23" i="1"/>
  <c r="S27" i="1"/>
  <c r="S19" i="1"/>
  <c r="S37" i="1"/>
  <c r="S5" i="1"/>
  <c r="S73" i="1"/>
  <c r="S59" i="1"/>
  <c r="S58" i="1"/>
  <c r="S42" i="1"/>
  <c r="S69" i="1"/>
  <c r="S40" i="1"/>
  <c r="S63" i="1"/>
  <c r="S53" i="1"/>
  <c r="S54" i="1"/>
  <c r="U71" i="1"/>
  <c r="S74" i="1"/>
  <c r="S60" i="1"/>
  <c r="S47" i="1"/>
  <c r="S41" i="1"/>
  <c r="S65" i="1"/>
  <c r="S72" i="1"/>
  <c r="S61" i="1"/>
  <c r="S71" i="1"/>
  <c r="S55" i="1"/>
  <c r="S66" i="1"/>
  <c r="U53" i="1"/>
  <c r="U50" i="1"/>
  <c r="U63" i="1"/>
  <c r="S67" i="1"/>
  <c r="U48" i="1"/>
  <c r="U49" i="1"/>
  <c r="U62" i="1"/>
  <c r="U74" i="1"/>
  <c r="U65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54" i="1" s="1"/>
  <c r="I75" i="1"/>
  <c r="V66" i="1" s="1"/>
  <c r="W42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W74" i="1" l="1"/>
  <c r="V50" i="1"/>
  <c r="V40" i="1"/>
  <c r="V71" i="1"/>
  <c r="V58" i="1"/>
  <c r="V68" i="1"/>
  <c r="V70" i="1"/>
  <c r="W51" i="1"/>
  <c r="W65" i="1"/>
  <c r="W72" i="1"/>
  <c r="W73" i="1"/>
  <c r="W68" i="1"/>
  <c r="W57" i="1"/>
  <c r="V57" i="1"/>
  <c r="V47" i="1"/>
  <c r="V49" i="1"/>
  <c r="V54" i="1"/>
  <c r="V43" i="1"/>
  <c r="V45" i="1"/>
  <c r="W75" i="1"/>
  <c r="W2" i="1"/>
  <c r="V72" i="1"/>
  <c r="V61" i="1"/>
  <c r="V44" i="1"/>
  <c r="V55" i="1"/>
  <c r="V65" i="1"/>
  <c r="V52" i="1"/>
  <c r="V59" i="1"/>
  <c r="V67" i="1"/>
  <c r="V48" i="1"/>
  <c r="V64" i="1"/>
  <c r="V51" i="1"/>
  <c r="V62" i="1"/>
  <c r="W43" i="1"/>
  <c r="W60" i="1"/>
  <c r="W63" i="1"/>
  <c r="W67" i="1"/>
  <c r="W49" i="1"/>
  <c r="W52" i="1"/>
  <c r="W66" i="1"/>
  <c r="W69" i="1"/>
  <c r="W71" i="1"/>
  <c r="V69" i="1"/>
  <c r="V74" i="1"/>
  <c r="V42" i="1"/>
  <c r="V63" i="1"/>
  <c r="V73" i="1"/>
  <c r="W59" i="1"/>
  <c r="W61" i="1"/>
  <c r="W56" i="1"/>
  <c r="W58" i="1"/>
  <c r="W44" i="1"/>
  <c r="W40" i="1"/>
  <c r="W41" i="1"/>
  <c r="W45" i="1"/>
  <c r="W70" i="1"/>
  <c r="W53" i="1"/>
  <c r="W64" i="1"/>
  <c r="W46" i="1"/>
  <c r="V46" i="1"/>
  <c r="W55" i="1"/>
  <c r="W47" i="1"/>
  <c r="W39" i="1"/>
  <c r="W62" i="1"/>
  <c r="W50" i="1"/>
  <c r="W48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G62" i="1"/>
  <c r="G63" i="1" s="1"/>
  <c r="M51" i="1"/>
  <c r="M52" i="1" s="1"/>
  <c r="M53" i="1" s="1"/>
  <c r="L50" i="1"/>
  <c r="K75" i="1" l="1"/>
  <c r="X2" i="1" s="1"/>
  <c r="P39" i="1"/>
  <c r="N69" i="1"/>
  <c r="G64" i="1"/>
  <c r="M54" i="1"/>
  <c r="M55" i="1" s="1"/>
  <c r="L51" i="1"/>
  <c r="L52" i="1" s="1"/>
  <c r="L53" i="1" s="1"/>
  <c r="X11" i="1" l="1"/>
  <c r="X4" i="1"/>
  <c r="X23" i="1"/>
  <c r="X54" i="1"/>
  <c r="X9" i="1"/>
  <c r="X72" i="1"/>
  <c r="X37" i="1"/>
  <c r="X24" i="1"/>
  <c r="X71" i="1"/>
  <c r="X6" i="1"/>
  <c r="X29" i="1"/>
  <c r="X10" i="1"/>
  <c r="X45" i="1"/>
  <c r="X44" i="1"/>
  <c r="X34" i="1"/>
  <c r="X65" i="1"/>
  <c r="X13" i="1"/>
  <c r="X48" i="1"/>
  <c r="X59" i="1"/>
  <c r="X73" i="1"/>
  <c r="X39" i="1"/>
  <c r="X33" i="1"/>
  <c r="X41" i="1"/>
  <c r="X25" i="1"/>
  <c r="X26" i="1"/>
  <c r="X50" i="1"/>
  <c r="X16" i="1"/>
  <c r="X47" i="1"/>
  <c r="X74" i="1"/>
  <c r="X38" i="1"/>
  <c r="X66" i="1"/>
  <c r="X43" i="1"/>
  <c r="X42" i="1"/>
  <c r="X56" i="1"/>
  <c r="X67" i="1"/>
  <c r="X32" i="1"/>
  <c r="X53" i="1"/>
  <c r="X18" i="1"/>
  <c r="X3" i="1"/>
  <c r="X35" i="1"/>
  <c r="X30" i="1"/>
  <c r="X75" i="1"/>
  <c r="X63" i="1"/>
  <c r="X57" i="1"/>
  <c r="X40" i="1"/>
  <c r="X27" i="1"/>
  <c r="X12" i="1"/>
  <c r="X55" i="1"/>
  <c r="X68" i="1"/>
  <c r="X21" i="1"/>
  <c r="X20" i="1"/>
  <c r="X7" i="1"/>
  <c r="X46" i="1"/>
  <c r="X51" i="1"/>
  <c r="X28" i="1"/>
  <c r="X5" i="1"/>
  <c r="X14" i="1"/>
  <c r="X8" i="1"/>
  <c r="X36" i="1"/>
  <c r="X22" i="1"/>
  <c r="X31" i="1"/>
  <c r="X58" i="1"/>
  <c r="X64" i="1"/>
  <c r="X62" i="1"/>
  <c r="X15" i="1"/>
  <c r="X17" i="1"/>
  <c r="X49" i="1"/>
  <c r="X70" i="1"/>
  <c r="X60" i="1"/>
  <c r="X52" i="1"/>
  <c r="X19" i="1"/>
  <c r="X69" i="1"/>
  <c r="X61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M56" i="1"/>
  <c r="M57" i="1" s="1"/>
  <c r="L54" i="1"/>
  <c r="G66" i="1" l="1"/>
  <c r="G67" i="1" s="1"/>
  <c r="G68" i="1" s="1"/>
  <c r="G69" i="1" s="1"/>
  <c r="G70" i="1" s="1"/>
  <c r="G71" i="1" s="1"/>
  <c r="G72" i="1" s="1"/>
  <c r="AC45" i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3" i="1" l="1"/>
  <c r="T2" i="1"/>
  <c r="G74" i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M68" i="1"/>
  <c r="L72" i="1" l="1"/>
  <c r="L73" i="1" s="1"/>
  <c r="M69" i="1"/>
  <c r="L74" i="1" l="1"/>
  <c r="L75" i="1" s="1"/>
  <c r="Y2" i="1"/>
  <c r="Y69" i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Y75" i="1" l="1"/>
  <c r="M71" i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<sst xmlns="http://schemas.openxmlformats.org/spreadsheetml/2006/main" count="887" uniqueCount="535">
  <si>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</si>
  <si>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</si>
  <si>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</si>
  <si>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</si>
  <si>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</si>
  <si>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</si>
  <si>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</si>
  <si>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</si>
  <si>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</si>
  <si>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</si>
  <si>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</si>
  <si>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</si>
  <si>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</si>
  <si>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</si>
  <si>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</si>
  <si>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</si>
  <si>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</si>
  <si>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</si>
  <si>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</si>
  <si>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</si>
  <si>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</si>
  <si>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</si>
  <si>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</si>
  <si>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</si>
  <si>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</si>
  <si>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</si>
  <si>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</si>
  <si>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</si>
  <si>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</si>
  <si>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</si>
  <si>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</si>
  <si>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</si>
  <si>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</si>
  <si>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</si>
  <si>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</si>
  <si>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</si>
  <si>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</si>
  <si>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</si>
  <si>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</si>
  <si>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</si>
  <si>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</si>
  <si>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</si>
  <si>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</si>
  <si>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</si>
  <si>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</si>
  <si>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</si>
  <si>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</si>
  <si>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</si>
  <si>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</si>
  <si>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</si>
  <si>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</si>
  <si>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</si>
  <si>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</si>
  <si>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</si>
  <si>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</si>
  <si>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</si>
  <si>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</si>
  <si>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</si>
  <si>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</si>
  <si>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</si>
  <si>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</si>
  <si>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</si>
  <si>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</si>
  <si>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</si>
  <si>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</si>
  <si>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</si>
  <si>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</si>
  <si>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</si>
  <si>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</si>
  <si>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</si>
  <si>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</si>
  <si>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</si>
  <si>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</si>
  <si>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</si>
  <si>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</si>
  <si>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</si>
  <si>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</si>
  <si>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</si>
  <si>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</si>
  <si>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</si>
  <si>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</si>
  <si>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</si>
  <si>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</si>
  <si>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</si>
  <si>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</si>
  <si>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</si>
  <si>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</si>
  <si>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</si>
  <si>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</si>
  <si>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</si>
  <si>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</si>
  <si>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</si>
  <si>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</si>
  <si>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</si>
  <si>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</si>
  <si>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</si>
  <si>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</si>
  <si>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</si>
  <si>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</si>
  <si>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</si>
  <si>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</si>
  <si>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</si>
  <si>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</si>
  <si>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</si>
  <si>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</si>
  <si>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</si>
  <si>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</si>
  <si>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</si>
  <si>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</si>
  <si>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</si>
  <si>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</si>
  <si>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</si>
  <si>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</si>
  <si>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</si>
  <si>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</si>
  <si>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</si>
  <si>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</si>
  <si>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</si>
  <si>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</si>
  <si>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</si>
  <si>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</si>
  <si>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</si>
  <si>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</si>
  <si>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</si>
  <si>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</si>
  <si>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</si>
  <si>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</si>
  <si>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</si>
  <si>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</si>
  <si>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</si>
  <si>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</si>
  <si>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</si>
  <si>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</si>
  <si>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</si>
  <si>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</si>
  <si>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</si>
  <si>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</si>
  <si>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</si>
  <si>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</si>
  <si>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</si>
  <si>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</si>
  <si>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</si>
  <si>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</si>
  <si>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</si>
  <si>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</si>
  <si>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</si>
  <si>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</si>
  <si>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</si>
  <si>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</si>
  <si>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</si>
  <si>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</si>
  <si>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</si>
  <si>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</si>
  <si>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</si>
  <si>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</si>
  <si>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</si>
  <si>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</si>
  <si>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</si>
  <si>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</si>
  <si>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</si>
  <si>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</si>
  <si>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</si>
  <si>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</si>
  <si>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</si>
  <si>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</si>
  <si>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</si>
  <si>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</si>
  <si>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</si>
  <si>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</si>
  <si>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</si>
  <si>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</si>
  <si>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</si>
  <si>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</si>
  <si>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</si>
  <si>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</si>
  <si>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</si>
  <si>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</si>
  <si>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</si>
  <si>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</si>
  <si>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</si>
  <si>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</si>
  <si>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</si>
  <si>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</si>
  <si>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</si>
  <si>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</si>
  <si>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</si>
  <si>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</si>
  <si>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</si>
  <si>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</si>
  <si>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</si>
  <si>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</si>
  <si>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</si>
  <si>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</si>
  <si>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</si>
  <si>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</si>
  <si>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</si>
  <si>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</si>
  <si>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</si>
  <si>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</si>
  <si>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</si>
  <si>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</si>
  <si>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</si>
  <si>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</si>
  <si>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</si>
  <si>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</si>
  <si>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</si>
  <si>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</si>
  <si>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</si>
  <si>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</si>
  <si>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</si>
  <si>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</si>
  <si>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</si>
  <si>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</si>
  <si>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</si>
  <si>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</si>
  <si>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</si>
  <si>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</si>
  <si>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</si>
  <si>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</si>
  <si>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</si>
  <si>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</si>
  <si>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</si>
  <si>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</si>
  <si>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</si>
  <si>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</si>
  <si>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</si>
  <si>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</si>
  <si>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</si>
  <si>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</si>
  <si>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</si>
  <si>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</si>
  <si>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</si>
  <si>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</si>
  <si>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</si>
  <si>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</si>
  <si>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</si>
  <si>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</si>
  <si>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</si>
  <si>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</si>
  <si>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</si>
  <si>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</si>
  <si>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</si>
  <si>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</si>
  <si>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</si>
  <si>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</si>
  <si>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</si>
  <si>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</si>
  <si>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</si>
  <si>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</si>
  <si>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</si>
  <si>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</si>
  <si>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</si>
  <si>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</si>
  <si>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</si>
  <si>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</si>
  <si>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</si>
  <si>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</si>
  <si>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</si>
  <si>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</si>
  <si>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</si>
  <si>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</si>
  <si>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</si>
  <si>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</si>
  <si>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</si>
  <si>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</si>
  <si>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</si>
  <si>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</si>
  <si>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</si>
  <si>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</si>
  <si>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</si>
  <si>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</si>
  <si>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</si>
  <si>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</si>
  <si>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</si>
  <si>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</si>
  <si>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</si>
  <si>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</si>
  <si>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</si>
  <si>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</si>
  <si>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</si>
  <si>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</si>
  <si>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</si>
  <si>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</si>
  <si>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</si>
  <si>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</si>
  <si>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</si>
  <si>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</si>
  <si>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</si>
  <si>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</si>
  <si>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</si>
  <si>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</si>
  <si>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</si>
  <si>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</si>
  <si>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</si>
  <si>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</si>
  <si>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</si>
  <si>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</si>
  <si>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</si>
  <si>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</si>
  <si>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</si>
  <si>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</si>
  <si>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</si>
  <si>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</si>
  <si>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</si>
  <si>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</si>
  <si>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</si>
  <si>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</si>
  <si>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</si>
  <si>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</si>
  <si>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</si>
  <si>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</si>
  <si>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</si>
  <si>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</si>
  <si>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</si>
  <si>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</si>
  <si>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</si>
  <si>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</si>
  <si>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</si>
  <si>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</si>
  <si>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</si>
  <si>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</si>
  <si>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</si>
  <si>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</si>
  <si>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</si>
  <si>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</si>
  <si>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</si>
  <si>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</si>
  <si>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</si>
  <si>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</si>
  <si>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</si>
  <si>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</si>
  <si>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</si>
  <si>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</si>
  <si>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</si>
  <si>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</si>
  <si>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</si>
  <si>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</si>
  <si>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</si>
  <si>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</si>
  <si>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</si>
  <si>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</si>
  <si>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</si>
  <si>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</si>
  <si>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</si>
  <si>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</si>
  <si>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</si>
  <si>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</si>
  <si>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</si>
  <si>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</si>
  <si>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</si>
  <si>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</si>
  <si>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</si>
  <si>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</si>
  <si>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</si>
  <si>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</si>
  <si>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</si>
  <si>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</si>
  <si>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</si>
  <si>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</si>
  <si>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</si>
  <si>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</si>
  <si>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</si>
  <si>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</si>
  <si>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</si>
  <si>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</si>
  <si>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</si>
  <si>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</si>
  <si>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</si>
  <si>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</si>
  <si>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</si>
  <si>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</si>
  <si>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</si>
  <si>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</si>
  <si>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</si>
  <si>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</si>
  <si>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</si>
  <si>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</si>
  <si>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</si>
  <si>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</si>
  <si>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</si>
  <si>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</si>
  <si>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</si>
  <si>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</si>
  <si>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</si>
  <si>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</si>
  <si>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</si>
  <si>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</si>
  <si>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</si>
  <si>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</si>
  <si>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</si>
  <si>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</si>
  <si>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</si>
  <si>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</si>
  <si>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</si>
  <si>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</si>
  <si>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</si>
  <si>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</si>
  <si>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</si>
  <si>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</si>
  <si>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</si>
  <si>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</si>
  <si>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</si>
  <si>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</si>
  <si>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</si>
  <si>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</si>
  <si>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</si>
  <si>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</si>
  <si>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</si>
  <si>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</si>
  <si>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</si>
  <si>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</si>
  <si>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</si>
  <si>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</si>
  <si>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</si>
  <si>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</si>
  <si>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</si>
  <si>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</si>
  <si>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</si>
  <si>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</si>
  <si>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</si>
  <si>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</si>
  <si>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</si>
  <si>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</si>
  <si>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</si>
  <si>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</si>
  <si>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</si>
  <si>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</si>
  <si>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</si>
  <si>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</si>
  <si>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</si>
  <si>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</si>
  <si>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</si>
  <si>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</si>
  <si>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</si>
  <si>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</si>
  <si>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</si>
  <si>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</si>
  <si>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</si>
  <si>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</si>
  <si>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</si>
  <si>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</si>
  <si>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</si>
  <si>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</si>
  <si>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</si>
  <si>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</si>
  <si>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</si>
  <si>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</si>
  <si>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</si>
  <si>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</si>
  <si>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</si>
  <si>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</si>
  <si>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</si>
  <si>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</si>
  <si>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</si>
  <si>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</si>
  <si>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</si>
  <si>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</si>
  <si>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</si>
  <si>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</si>
  <si>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</si>
  <si>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</si>
  <si>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</si>
  <si>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</si>
  <si>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</si>
  <si>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</si>
  <si>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</si>
  <si>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</si>
  <si>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</si>
  <si>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</si>
  <si>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</si>
  <si>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</si>
  <si>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</si>
  <si>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</si>
  <si>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</si>
  <si>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</si>
  <si>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</si>
  <si>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</si>
  <si>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</si>
  <si>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</si>
  <si>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</si>
  <si>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</si>
  <si>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</si>
  <si>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</si>
  <si>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</si>
  <si>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</si>
  <si>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</si>
  <si>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</si>
  <si>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</si>
  <si>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</si>
  <si>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</si>
  <si>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</si>
  <si>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</si>
  <si>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</si>
  <si>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</si>
  <si>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</si>
  <si>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</si>
  <si>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</si>
  <si>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</si>
  <si>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</si>
  <si>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</si>
  <si>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</si>
  <si>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</si>
  <si>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</si>
  <si>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</si>
  <si>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</si>
  <si>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</si>
  <si>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</si>
  <si>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</si>
  <si>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</si>
  <si>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</si>
  <si>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</si>
  <si>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</si>
  <si>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</si>
  <si>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</si>
  <si>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</si>
  <si>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</si>
  <si>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</si>
  <si>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</si>
  <si>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</si>
  <si>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</si>
  <si>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</si>
  <si>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</si>
  <si>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лучевой</t>
  </si>
  <si>
    <t>50 ml</t>
  </si>
  <si>
    <t>неровности контуров</t>
  </si>
  <si>
    <t xml:space="preserve">Контроль места пункции, повязка  на руке до 6 ч. </t>
  </si>
  <si>
    <t>200 ml</t>
  </si>
  <si>
    <t>18:42</t>
  </si>
  <si>
    <t>Галкин Ю.Г.</t>
  </si>
  <si>
    <t xml:space="preserve">Сбалансированный </t>
  </si>
  <si>
    <t xml:space="preserve">стеноз проксимального сегмента 50%,  стеноз среднего сегмента 40%. Антеградного кровотока - TIMI III. </t>
  </si>
  <si>
    <t>неровности контуров проксимального сегмента и среднего сегментов, пролонгированный стеноз среднего сегмента с макс.степенью стенозирования 50%, стенозы дистального сегмента 30%, окклюзия апикального сегмента. Стеноз проксимального сегмента ДВ 70%. Антеградный  кровоток до апикального сегмента - TIMI III</t>
  </si>
  <si>
    <r>
      <rPr>
        <i/>
        <u/>
        <sz val="11"/>
        <color theme="1"/>
        <rFont val="Arial Narrow"/>
        <family val="2"/>
        <charset val="204"/>
      </rPr>
      <t xml:space="preserve">стентирование коронарной артерии от 03.02.2019 (DES Resolute Integrity3,0-15мм (2шт.) </t>
    </r>
    <r>
      <rPr>
        <sz val="11"/>
        <color theme="1"/>
        <rFont val="Arial Narrow"/>
        <family val="2"/>
        <charset val="204"/>
      </rPr>
      <t xml:space="preserve">На настоящей каг определяется стеноз проксимального сегмента 30%, </t>
    </r>
    <r>
      <rPr>
        <b/>
        <sz val="11"/>
        <color theme="1"/>
        <rFont val="Arial Narrow"/>
        <family val="2"/>
        <charset val="204"/>
      </rPr>
      <t xml:space="preserve">острая субмассивная окклюзия стентов среднего сегментов, стеноз дистального сегмента ОА 30%. Стеноз устья ВТК 80%. </t>
    </r>
    <r>
      <rPr>
        <b/>
        <u/>
        <sz val="11"/>
        <color theme="1"/>
        <rFont val="Arial Narrow"/>
        <family val="2"/>
        <charset val="204"/>
      </rPr>
      <t xml:space="preserve">TTG3. Rentrop 0. TIMI 0.   </t>
    </r>
  </si>
  <si>
    <t>Совместно с д/кардиологом рекомендована экстренная реканализация ОА</t>
  </si>
  <si>
    <t>Устье ствола ЛКА катетеризировано проводниковым катетером Launcher EBU 3.5 6Fr. Коронарный проводник whisper LS  удалось провести через зону субмассивного тромбоза в дистальный сегмент ОА. Аспирационным катером Medtronic Export Advance выполнена реканализация артерии, аспирированы крупные тромботические массы (пять тракций аспираций). С учётом субмассивного тромбоза артерии принято решение в пользу ведения эптифибатида внутривенно болюсно в дозе 180 мкг/кг  (1 флакон). В зону среднего сегмента с покрытием нестабильного рестеноза стентов   имплантирован DES Resolute Integrity 4.0 - 22, давлением до  14 атм. Устье ВТК и ячейка стента дилатирована БК Колибри 1.5 - 15 и 2.0 - 15, давлением 18 атм. На контрольных съемках стент раскрыт удовлетворительно, признаков краевых диссекций, тромбоза, экстравазации контрастного вещества не выявлено.   Ангиографический результат удовлетворительный, кровоток по ОА и ВТК полностью  восстановлен, TIMI III. Остаточный стеноз устья ВТК 50%. 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</si>
</sst>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b/>
      <u/>
      <sz val="11"/>
      <color theme="1"/>
      <name val="Arial Narrow"/>
      <family val="2"/>
      <charset val="204"/>
    </font>
    <font>
      <i/>
      <u/>
      <sz val="11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23" fillId="0" borderId="32" xfId="0" applyFont="1" applyBorder="1" applyAlignment="1">
      <alignment horizontal="justify" vertical="center" wrapText="1"/>
    </xf>
    <xf numFmtId="0" fontId="23" fillId="0" borderId="33" xfId="0" applyFont="1" applyBorder="1" applyAlignment="1">
      <alignment horizontal="justify" vertical="center" wrapText="1"/>
    </xf>
    <xf numFmtId="0" fontId="56" fillId="0" borderId="34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3" xfId="0" applyFont="1" applyFill="1" applyBorder="1" applyAlignment="1">
      <alignment horizontal="left" vertical="center"/>
    </xf>
    <xf numFmtId="0" fontId="15" fillId="8" borderId="35" xfId="6" applyFont="1" applyBorder="1" applyAlignment="1">
      <alignment horizontal="left" vertical="center"/>
    </xf>
    <xf numFmtId="14" fontId="55" fillId="9" borderId="36" xfId="7" applyNumberFormat="1" applyFont="1" applyBorder="1" applyAlignment="1">
      <alignment horizontal="left" vertical="center"/>
    </xf>
    <xf numFmtId="14" fontId="48" fillId="9" borderId="37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4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38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topLeftCell="A7" zoomScaleNormal="100" zoomScaleSheetLayoutView="100" zoomScalePageLayoutView="90" workbookViewId="0">
      <selection activeCell="J33" sqref="J3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5" t="s">
        <v>213</v>
      </c>
      <c r="B6" s="216"/>
      <c r="C6" s="216"/>
      <c r="D6" s="216"/>
      <c r="E6" s="216"/>
      <c r="F6" s="216"/>
      <c r="G6" s="216"/>
      <c r="H6" s="217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45548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0.77777777777777779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0.78263888888888899</v>
      </c>
      <c r="C10" s="55"/>
      <c r="D10" s="95" t="s">
        <v>173</v>
      </c>
      <c r="E10" s="93"/>
      <c r="F10" s="93"/>
      <c r="G10" s="24" t="s">
        <v>185</v>
      </c>
      <c r="H10" s="26"/>
    </row>
    <row r="11" spans="1:8" ht="17.25" thickTop="1" thickBot="1">
      <c r="A11" s="89" t="s">
        <v>192</v>
      </c>
      <c r="B11" s="201" t="s">
        <v>528</v>
      </c>
      <c r="C11" s="8"/>
      <c r="D11" s="95" t="s">
        <v>170</v>
      </c>
      <c r="E11" s="93"/>
      <c r="F11" s="93"/>
      <c r="G11" s="24" t="s">
        <v>506</v>
      </c>
      <c r="H11" s="26"/>
    </row>
    <row r="12" spans="1:8" ht="16.5" thickTop="1">
      <c r="A12" s="81" t="s">
        <v>8</v>
      </c>
      <c r="B12" s="82">
        <v>17593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76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26111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3" t="s">
        <v>399</v>
      </c>
      <c r="H15" s="167" t="s">
        <v>527</v>
      </c>
    </row>
    <row r="16" spans="1:8" ht="15.6" customHeight="1">
      <c r="A16" s="15" t="s">
        <v>106</v>
      </c>
      <c r="B16" s="19" t="s">
        <v>485</v>
      </c>
      <c r="D16" s="36"/>
      <c r="E16" s="36"/>
      <c r="F16" s="36"/>
      <c r="G16" s="164" t="s">
        <v>401</v>
      </c>
      <c r="H16" s="162">
        <v>8350</v>
      </c>
    </row>
    <row r="17" spans="1:8" ht="14.45" customHeight="1">
      <c r="A17" s="40"/>
      <c r="B17" s="31"/>
      <c r="C17" s="31"/>
      <c r="D17" s="88"/>
      <c r="E17" s="88"/>
      <c r="F17" s="88"/>
      <c r="G17" s="165" t="s">
        <v>388</v>
      </c>
      <c r="H17" s="166">
        <f>H16*0.0019</f>
        <v>15.865</v>
      </c>
    </row>
    <row r="18" spans="1:8" ht="14.45" customHeight="1">
      <c r="A18" s="57" t="s">
        <v>188</v>
      </c>
      <c r="B18" s="87" t="s">
        <v>529</v>
      </c>
      <c r="D18" s="28" t="s">
        <v>210</v>
      </c>
      <c r="E18" s="28"/>
      <c r="F18" s="28"/>
      <c r="G18" s="85" t="s">
        <v>189</v>
      </c>
      <c r="H18" s="86" t="s">
        <v>522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8" t="s">
        <v>524</v>
      </c>
      <c r="C20" s="219"/>
      <c r="D20" s="219"/>
      <c r="E20" s="219"/>
      <c r="F20" s="219"/>
      <c r="G20" s="219"/>
      <c r="H20" s="220"/>
    </row>
    <row r="21" spans="1:8">
      <c r="A21" s="58"/>
      <c r="B21" s="221"/>
      <c r="C21" s="221"/>
      <c r="D21" s="221"/>
      <c r="E21" s="221"/>
      <c r="F21" s="221"/>
      <c r="G21" s="221"/>
      <c r="H21" s="222"/>
    </row>
    <row r="22" spans="1:8" ht="15.6" customHeight="1">
      <c r="A22" s="59" t="s">
        <v>271</v>
      </c>
      <c r="B22" s="223" t="s">
        <v>531</v>
      </c>
      <c r="C22" s="223"/>
      <c r="D22" s="223"/>
      <c r="E22" s="223"/>
      <c r="F22" s="223"/>
      <c r="G22" s="223"/>
      <c r="H22" s="224"/>
    </row>
    <row r="23" spans="1:8" ht="14.45" customHeight="1">
      <c r="A23" s="38"/>
      <c r="B23" s="225"/>
      <c r="C23" s="225"/>
      <c r="D23" s="225"/>
      <c r="E23" s="225"/>
      <c r="F23" s="225"/>
      <c r="G23" s="225"/>
      <c r="H23" s="226"/>
    </row>
    <row r="24" spans="1:8" ht="14.45" customHeight="1">
      <c r="A24" s="60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38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40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59" t="s">
        <v>272</v>
      </c>
      <c r="B27" s="223" t="s">
        <v>532</v>
      </c>
      <c r="C27" s="223"/>
      <c r="D27" s="223"/>
      <c r="E27" s="223"/>
      <c r="F27" s="223"/>
      <c r="G27" s="223"/>
      <c r="H27" s="224"/>
    </row>
    <row r="28" spans="1:8" ht="15.6" customHeight="1">
      <c r="A28" s="38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38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32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33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59" t="s">
        <v>273</v>
      </c>
      <c r="B32" s="223" t="s">
        <v>530</v>
      </c>
      <c r="C32" s="223"/>
      <c r="D32" s="223"/>
      <c r="E32" s="223"/>
      <c r="F32" s="223"/>
      <c r="G32" s="223"/>
      <c r="H32" s="224"/>
    </row>
    <row r="33" spans="1:8" ht="14.45" customHeight="1">
      <c r="A33" s="38"/>
      <c r="B33" s="225"/>
      <c r="C33" s="225"/>
      <c r="D33" s="225"/>
      <c r="E33" s="225"/>
      <c r="F33" s="225"/>
      <c r="G33" s="225"/>
      <c r="H33" s="226"/>
    </row>
    <row r="34" spans="1:8" ht="15.6" customHeight="1">
      <c r="A34" s="38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38"/>
      <c r="B35" s="225"/>
      <c r="C35" s="225"/>
      <c r="D35" s="225"/>
      <c r="E35" s="225"/>
      <c r="F35" s="225"/>
      <c r="G35" s="225"/>
      <c r="H35" s="226"/>
    </row>
    <row r="36" spans="1:8" ht="15.6" customHeight="1">
      <c r="A36" s="38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8"/>
      <c r="D37" s="211" t="str">
        <f>IF($A$6=Вмешательства!$D$3,Вмешательства!$F$18,"")</f>
        <v/>
      </c>
      <c r="E37" s="211"/>
      <c r="F37" s="119"/>
      <c r="G37" s="119"/>
      <c r="H37" s="123"/>
    </row>
    <row r="38" spans="1:8" ht="14.45" customHeight="1">
      <c r="A38" s="38"/>
      <c r="C38" s="124"/>
      <c r="D38" s="212"/>
      <c r="E38" s="213"/>
      <c r="F38" s="213"/>
      <c r="G38" s="213"/>
      <c r="H38" s="214"/>
    </row>
    <row r="39" spans="1:8" ht="14.45" customHeight="1">
      <c r="A39" s="35"/>
      <c r="B39" s="119"/>
      <c r="C39" s="124"/>
      <c r="D39" s="213"/>
      <c r="E39" s="213"/>
      <c r="F39" s="213"/>
      <c r="G39" s="213"/>
      <c r="H39" s="214"/>
    </row>
    <row r="40" spans="1:8" ht="14.45" customHeight="1">
      <c r="A40" s="35"/>
      <c r="B40" s="119"/>
      <c r="C40" s="124"/>
      <c r="D40" s="213"/>
      <c r="E40" s="213"/>
      <c r="F40" s="213"/>
      <c r="G40" s="213"/>
      <c r="H40" s="214"/>
    </row>
    <row r="41" spans="1:8" ht="14.45" customHeight="1">
      <c r="A41" s="35"/>
      <c r="B41" s="119"/>
      <c r="C41" s="124"/>
      <c r="D41" s="213"/>
      <c r="E41" s="213"/>
      <c r="F41" s="213"/>
      <c r="G41" s="213"/>
      <c r="H41" s="214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8" t="s">
        <v>533</v>
      </c>
      <c r="E43" s="209"/>
      <c r="F43" s="209"/>
      <c r="G43" s="209"/>
      <c r="H43" s="210"/>
    </row>
    <row r="44" spans="1:8" ht="14.45" customHeight="1">
      <c r="A44" s="35"/>
      <c r="B44" s="119"/>
      <c r="C44" s="126"/>
      <c r="D44" s="209"/>
      <c r="E44" s="209"/>
      <c r="F44" s="209"/>
      <c r="G44" s="209"/>
      <c r="H44" s="210"/>
    </row>
    <row r="45" spans="1:8" ht="14.45" customHeight="1">
      <c r="A45" s="35"/>
      <c r="B45" s="119"/>
      <c r="C45" s="126"/>
      <c r="D45" s="209"/>
      <c r="E45" s="209"/>
      <c r="F45" s="209"/>
      <c r="G45" s="209"/>
      <c r="H45" s="210"/>
    </row>
    <row r="46" spans="1:8">
      <c r="A46" s="35"/>
      <c r="B46" s="119"/>
      <c r="C46" s="126"/>
      <c r="D46" s="209"/>
      <c r="E46" s="209"/>
      <c r="F46" s="209"/>
      <c r="G46" s="209"/>
      <c r="H46" s="210"/>
    </row>
    <row r="47" spans="1:8">
      <c r="A47" s="38"/>
      <c r="C47" s="126"/>
      <c r="D47" s="209"/>
      <c r="E47" s="209"/>
      <c r="F47" s="209"/>
      <c r="G47" s="209"/>
      <c r="H47" s="210"/>
    </row>
    <row r="48" spans="1:8">
      <c r="A48" s="38"/>
      <c r="C48" s="126"/>
      <c r="D48" s="209"/>
      <c r="E48" s="209"/>
      <c r="F48" s="209"/>
      <c r="G48" s="209"/>
      <c r="H48" s="210"/>
    </row>
    <row r="49" spans="1:13">
      <c r="A49" s="38"/>
      <c r="B49" s="203"/>
      <c r="C49" s="204"/>
      <c r="D49" s="209"/>
      <c r="E49" s="209"/>
      <c r="F49" s="209"/>
      <c r="G49" s="209"/>
      <c r="H49" s="210"/>
    </row>
    <row r="50" spans="1:13">
      <c r="A50" s="38"/>
      <c r="D50" s="209"/>
      <c r="E50" s="209"/>
      <c r="F50" s="209"/>
      <c r="G50" s="209"/>
      <c r="H50" s="210"/>
      <c r="M50" t="s">
        <v>211</v>
      </c>
    </row>
    <row r="51" spans="1:13">
      <c r="A51" s="62" t="s">
        <v>199</v>
      </c>
      <c r="B51" s="63" t="s">
        <v>523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topLeftCell="A4" zoomScaleNormal="100" zoomScaleSheetLayoutView="100" zoomScalePageLayoutView="90" workbookViewId="0">
      <selection activeCell="M17" sqref="M17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9" t="s">
        <v>208</v>
      </c>
      <c r="B6" s="240"/>
      <c r="C6" s="240"/>
      <c r="D6" s="240"/>
      <c r="E6" s="240"/>
      <c r="F6" s="240"/>
      <c r="G6" s="240"/>
      <c r="H6" s="241"/>
    </row>
    <row r="7" spans="1:8" ht="21.6" customHeight="1">
      <c r="A7" s="239"/>
      <c r="B7" s="240"/>
      <c r="C7" s="240"/>
      <c r="D7" s="240"/>
      <c r="E7" s="240"/>
      <c r="F7" s="240"/>
      <c r="G7" s="240"/>
      <c r="H7" s="241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8" t="s">
        <v>209</v>
      </c>
      <c r="D8" s="238"/>
      <c r="E8" s="238"/>
      <c r="F8" s="188">
        <v>1</v>
      </c>
      <c r="G8" s="118" t="s">
        <v>309</v>
      </c>
      <c r="H8" s="156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8"/>
      <c r="D9" s="238"/>
      <c r="E9" s="238"/>
      <c r="F9" s="188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87"/>
      <c r="C10" s="242"/>
      <c r="D10" s="242"/>
      <c r="E10" s="242"/>
      <c r="F10" s="191"/>
      <c r="G10" s="118"/>
      <c r="H10" s="39"/>
    </row>
    <row r="11" spans="1:8">
      <c r="A11" s="190"/>
      <c r="B11" s="194"/>
      <c r="C11" s="197">
        <f>SUM(F8:F10)</f>
        <v>1</v>
      </c>
      <c r="H11" s="39"/>
    </row>
    <row r="12" spans="1:8" ht="18.75">
      <c r="A12" s="75" t="s">
        <v>191</v>
      </c>
      <c r="B12" s="20">
        <f>КАГ!B8</f>
        <v>45548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0.78263888888888899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0.82986111111111116</v>
      </c>
      <c r="C14" s="12"/>
      <c r="D14" s="95" t="s">
        <v>173</v>
      </c>
      <c r="E14" s="93"/>
      <c r="F14" s="93"/>
      <c r="G14" s="80" t="str">
        <f>КАГ!G10</f>
        <v>Щербакова С.М.</v>
      </c>
      <c r="H14" s="91" t="str">
        <f>IF(ISBLANK(КАГ!H10),"",КАГ!H10)</f>
        <v/>
      </c>
    </row>
    <row r="15" spans="1:8" ht="16.5" thickBot="1">
      <c r="A15" s="161" t="s">
        <v>387</v>
      </c>
      <c r="B15" s="186">
        <f>IF(B14&lt;B13,B14+1,B14)-B13</f>
        <v>4.7222222222222165E-2</v>
      </c>
      <c r="D15" s="95" t="s">
        <v>170</v>
      </c>
      <c r="E15" s="93"/>
      <c r="F15" s="93"/>
      <c r="G15" s="80" t="str">
        <f>КАГ!G11</f>
        <v>Соболева Ю.А.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199" t="str">
        <f>КАГ!B11</f>
        <v>Галкин Ю.Г.</v>
      </c>
      <c r="C16" s="198">
        <f>LEN(КАГ!B11)</f>
        <v>11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17593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76</v>
      </c>
      <c r="H18" s="39"/>
    </row>
    <row r="19" spans="1:8" ht="14.45" customHeight="1">
      <c r="A19" s="15" t="s">
        <v>12</v>
      </c>
      <c r="B19" s="68">
        <f>КАГ!B14</f>
        <v>26111</v>
      </c>
      <c r="C19" s="69"/>
      <c r="D19" s="69"/>
      <c r="E19" s="69"/>
      <c r="F19" s="69"/>
      <c r="G19" s="163" t="s">
        <v>399</v>
      </c>
      <c r="H19" s="178" t="str">
        <f>КАГ!H15</f>
        <v>18:42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4" t="s">
        <v>401</v>
      </c>
      <c r="H20" s="179">
        <f>КАГ!H16</f>
        <v>8350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5" t="s">
        <v>388</v>
      </c>
      <c r="H21" s="166">
        <f>КАГ!H17</f>
        <v>15.865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2" t="str">
        <f>IF(B21=Вмешательства!F3,Вмешательства!F19,"")</f>
        <v>Реканализация:</v>
      </c>
      <c r="H22" s="183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0.78472222222222221</v>
      </c>
    </row>
    <row r="23" spans="1:8" ht="14.45" customHeight="1">
      <c r="A23" s="65" t="s">
        <v>391</v>
      </c>
      <c r="B23" s="170" t="s">
        <v>390</v>
      </c>
      <c r="C23" s="160"/>
      <c r="D23" s="160"/>
      <c r="E23" s="160"/>
      <c r="F23" s="160"/>
      <c r="H23" s="39"/>
    </row>
    <row r="24" spans="1:8" ht="14.45" customHeight="1">
      <c r="A24" s="181" t="s">
        <v>389</v>
      </c>
      <c r="B24" s="168"/>
      <c r="C24" s="168"/>
      <c r="D24" s="168"/>
      <c r="E24" s="168"/>
      <c r="F24" s="168"/>
      <c r="G24" s="168"/>
      <c r="H24" s="169"/>
    </row>
    <row r="25" spans="1:8" ht="14.45" customHeight="1">
      <c r="A25" s="246" t="s">
        <v>534</v>
      </c>
      <c r="B25" s="247"/>
      <c r="C25" s="247"/>
      <c r="D25" s="247"/>
      <c r="E25" s="247"/>
      <c r="F25" s="247"/>
      <c r="G25" s="247"/>
      <c r="H25" s="248"/>
    </row>
    <row r="26" spans="1:8" ht="14.45" customHeight="1">
      <c r="A26" s="249"/>
      <c r="B26" s="247"/>
      <c r="C26" s="247"/>
      <c r="D26" s="247"/>
      <c r="E26" s="247"/>
      <c r="F26" s="247"/>
      <c r="G26" s="247"/>
      <c r="H26" s="248"/>
    </row>
    <row r="27" spans="1:8" ht="14.45" customHeight="1">
      <c r="A27" s="249"/>
      <c r="B27" s="247"/>
      <c r="C27" s="247"/>
      <c r="D27" s="247"/>
      <c r="E27" s="247"/>
      <c r="F27" s="247"/>
      <c r="G27" s="247"/>
      <c r="H27" s="248"/>
    </row>
    <row r="28" spans="1:8" ht="14.45" customHeight="1">
      <c r="A28" s="249"/>
      <c r="B28" s="247"/>
      <c r="C28" s="247"/>
      <c r="D28" s="247"/>
      <c r="E28" s="247"/>
      <c r="F28" s="247"/>
      <c r="G28" s="247"/>
      <c r="H28" s="248"/>
    </row>
    <row r="29" spans="1:8" ht="14.45" customHeight="1">
      <c r="A29" s="249"/>
      <c r="B29" s="247"/>
      <c r="C29" s="247"/>
      <c r="D29" s="247"/>
      <c r="E29" s="247"/>
      <c r="F29" s="247"/>
      <c r="G29" s="247"/>
      <c r="H29" s="248"/>
    </row>
    <row r="30" spans="1:8" ht="14.45" customHeight="1">
      <c r="A30" s="249"/>
      <c r="B30" s="247"/>
      <c r="C30" s="247"/>
      <c r="D30" s="247"/>
      <c r="E30" s="247"/>
      <c r="F30" s="247"/>
      <c r="G30" s="247"/>
      <c r="H30" s="248"/>
    </row>
    <row r="31" spans="1:8" ht="14.45" customHeight="1">
      <c r="A31" s="249"/>
      <c r="B31" s="247"/>
      <c r="C31" s="247"/>
      <c r="D31" s="247"/>
      <c r="E31" s="247"/>
      <c r="F31" s="247"/>
      <c r="G31" s="247"/>
      <c r="H31" s="248"/>
    </row>
    <row r="32" spans="1:8" ht="14.45" customHeight="1">
      <c r="A32" s="249"/>
      <c r="B32" s="247"/>
      <c r="C32" s="247"/>
      <c r="D32" s="247"/>
      <c r="E32" s="247"/>
      <c r="F32" s="247"/>
      <c r="G32" s="247"/>
      <c r="H32" s="248"/>
    </row>
    <row r="33" spans="1:12" ht="14.45" customHeight="1">
      <c r="A33" s="249"/>
      <c r="B33" s="247"/>
      <c r="C33" s="247"/>
      <c r="D33" s="247"/>
      <c r="E33" s="247"/>
      <c r="F33" s="247"/>
      <c r="G33" s="247"/>
      <c r="H33" s="248"/>
    </row>
    <row r="34" spans="1:12" ht="14.45" customHeight="1">
      <c r="A34" s="249"/>
      <c r="B34" s="247"/>
      <c r="C34" s="247"/>
      <c r="D34" s="247"/>
      <c r="E34" s="247"/>
      <c r="F34" s="247"/>
      <c r="G34" s="247"/>
      <c r="H34" s="248"/>
    </row>
    <row r="35" spans="1:12" ht="14.45" customHeight="1">
      <c r="A35" s="249"/>
      <c r="B35" s="247"/>
      <c r="C35" s="247"/>
      <c r="D35" s="247"/>
      <c r="E35" s="247"/>
      <c r="F35" s="247"/>
      <c r="G35" s="247"/>
      <c r="H35" s="248"/>
    </row>
    <row r="36" spans="1:12" ht="14.45" customHeight="1">
      <c r="A36" s="249"/>
      <c r="B36" s="247"/>
      <c r="C36" s="247"/>
      <c r="D36" s="247"/>
      <c r="E36" s="247"/>
      <c r="F36" s="247"/>
      <c r="G36" s="247"/>
      <c r="H36" s="248"/>
    </row>
    <row r="37" spans="1:12" ht="14.45" customHeight="1">
      <c r="A37" s="249"/>
      <c r="B37" s="247"/>
      <c r="C37" s="247"/>
      <c r="D37" s="247"/>
      <c r="E37" s="247"/>
      <c r="F37" s="247"/>
      <c r="G37" s="247"/>
      <c r="H37" s="248"/>
    </row>
    <row r="38" spans="1:12" ht="14.45" customHeight="1">
      <c r="A38" s="175" t="s">
        <v>395</v>
      </c>
      <c r="B38" s="173"/>
      <c r="C38" s="174"/>
      <c r="D38" s="174"/>
      <c r="E38" s="184" t="str">
        <f>IF(A6=Вмешательства!D4,Вмешательства!V16,IF(ЧКВ!A6=Вмешательства!D36,Вмешательства!V16,"-----"))</f>
        <v>СТЕНТ/Ы</v>
      </c>
      <c r="F38" s="174"/>
      <c r="G38" s="177"/>
    </row>
    <row r="39" spans="1:12" ht="15.75">
      <c r="A39" s="171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2" t="s">
        <v>393</v>
      </c>
      <c r="B40" s="176" t="s">
        <v>523</v>
      </c>
      <c r="C40" s="120"/>
      <c r="D40" s="243" t="s">
        <v>525</v>
      </c>
      <c r="E40" s="244"/>
      <c r="F40" s="244"/>
      <c r="G40" s="244"/>
      <c r="H40" s="245"/>
    </row>
    <row r="41" spans="1:12" ht="14.45" customHeight="1">
      <c r="A41" s="32"/>
      <c r="B41" s="28"/>
      <c r="C41" s="120"/>
      <c r="D41" s="244"/>
      <c r="E41" s="244"/>
      <c r="F41" s="244"/>
      <c r="G41" s="244"/>
      <c r="H41" s="245"/>
    </row>
    <row r="42" spans="1:12" ht="14.45" customHeight="1">
      <c r="A42" s="32"/>
      <c r="B42" s="28"/>
      <c r="C42" s="120"/>
      <c r="D42" s="244"/>
      <c r="E42" s="244"/>
      <c r="F42" s="244"/>
      <c r="G42" s="244"/>
      <c r="H42" s="245"/>
    </row>
    <row r="43" spans="1:12" ht="14.45" customHeight="1">
      <c r="A43" s="32"/>
      <c r="B43" s="28"/>
      <c r="C43" s="120"/>
      <c r="D43" s="244"/>
      <c r="E43" s="244"/>
      <c r="F43" s="244"/>
      <c r="G43" s="244"/>
      <c r="H43" s="245"/>
    </row>
    <row r="44" spans="1:12" ht="14.45" customHeight="1">
      <c r="A44" s="32"/>
      <c r="B44" s="28"/>
      <c r="C44" s="120"/>
      <c r="D44" s="244"/>
      <c r="E44" s="244"/>
      <c r="F44" s="244"/>
      <c r="G44" s="244"/>
      <c r="H44" s="245"/>
      <c r="L44" s="158"/>
    </row>
    <row r="45" spans="1:12" ht="14.45" customHeight="1">
      <c r="A45" s="32"/>
      <c r="B45" s="28"/>
      <c r="C45" s="120"/>
      <c r="D45" s="244"/>
      <c r="E45" s="244"/>
      <c r="F45" s="244"/>
      <c r="G45" s="244"/>
      <c r="H45" s="245"/>
    </row>
    <row r="46" spans="1:12" ht="14.45" customHeight="1">
      <c r="A46" s="32"/>
      <c r="B46" s="28"/>
      <c r="C46" s="120"/>
      <c r="D46" s="244"/>
      <c r="E46" s="244"/>
      <c r="F46" s="244"/>
      <c r="G46" s="244"/>
      <c r="H46" s="245"/>
    </row>
    <row r="47" spans="1:12" ht="14.45" customHeight="1">
      <c r="A47" s="38"/>
      <c r="C47" s="120"/>
      <c r="D47" s="244"/>
      <c r="E47" s="244"/>
      <c r="F47" s="244"/>
      <c r="G47" s="244"/>
      <c r="H47" s="245"/>
    </row>
    <row r="48" spans="1:12" ht="14.45" customHeight="1">
      <c r="A48" s="38"/>
      <c r="C48" s="120"/>
      <c r="D48" s="244"/>
      <c r="E48" s="244"/>
      <c r="F48" s="244"/>
      <c r="G48" s="244"/>
      <c r="H48" s="245"/>
    </row>
    <row r="49" spans="1:8" ht="14.45" customHeight="1">
      <c r="A49" s="38"/>
      <c r="C49" s="120"/>
      <c r="D49" s="244"/>
      <c r="E49" s="244"/>
      <c r="F49" s="244"/>
      <c r="G49" s="244"/>
      <c r="H49" s="245"/>
    </row>
    <row r="50" spans="1:8">
      <c r="A50" s="62" t="s">
        <v>199</v>
      </c>
      <c r="B50" s="63" t="s">
        <v>526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9" t="s">
        <v>371</v>
      </c>
      <c r="B52" s="230"/>
      <c r="C52" s="230"/>
      <c r="D52" s="230"/>
      <c r="E52" s="230"/>
      <c r="F52" s="231"/>
      <c r="H52" s="39"/>
    </row>
    <row r="53" spans="1:8" ht="15" customHeight="1">
      <c r="A53" s="232"/>
      <c r="B53" s="233"/>
      <c r="C53" s="233"/>
      <c r="D53" s="233"/>
      <c r="E53" s="233"/>
      <c r="F53" s="234"/>
      <c r="G53" s="74" t="str">
        <f>IF(ISBLANK(H13),"",H13)</f>
        <v/>
      </c>
      <c r="H53" s="64"/>
    </row>
    <row r="54" spans="1:8">
      <c r="A54" s="235"/>
      <c r="B54" s="236"/>
      <c r="C54" s="236"/>
      <c r="D54" s="236"/>
      <c r="E54" s="236"/>
      <c r="F54" s="237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K13" sqref="K13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45548</v>
      </c>
      <c r="C2" s="150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5" t="s">
        <v>195</v>
      </c>
      <c r="B4" s="146" t="s">
        <v>105</v>
      </c>
      <c r="C4" s="147" t="s">
        <v>15</v>
      </c>
      <c r="D4" s="202" t="str">
        <f>КАГ!$B$11</f>
        <v>Галкин Ю.Г.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17593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76</v>
      </c>
    </row>
    <row r="7" spans="1:4">
      <c r="A7" s="38"/>
      <c r="C7" s="101" t="s">
        <v>12</v>
      </c>
      <c r="D7" s="103">
        <f>КАГ!$B$14</f>
        <v>26111</v>
      </c>
    </row>
    <row r="8" spans="1:4">
      <c r="A8" s="192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2" t="str">
        <f>ЧКВ!$A$10</f>
        <v>Код метода: 47</v>
      </c>
      <c r="C9" s="105" t="s">
        <v>106</v>
      </c>
      <c r="D9" s="103" t="str">
        <f>КАГ!$B$16</f>
        <v>ОКС с ↑ ST</v>
      </c>
    </row>
    <row r="10" spans="1:4">
      <c r="A10" s="193"/>
      <c r="B10" s="31"/>
      <c r="C10" s="148" t="s">
        <v>13</v>
      </c>
      <c r="D10" s="149">
        <f>КАГ!$B$8</f>
        <v>45548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1" t="s">
        <v>306</v>
      </c>
      <c r="C13" s="185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2" t="s">
        <v>326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2" t="s">
        <v>521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2" t="s">
        <v>375</v>
      </c>
      <c r="C16" s="135" t="s">
        <v>403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2" t="s">
        <v>375</v>
      </c>
      <c r="C17" s="135" t="s">
        <v>406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8" s="152" t="s">
        <v>370</v>
      </c>
      <c r="C18" s="135"/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2" t="s">
        <v>324</v>
      </c>
      <c r="C19" s="180" t="s">
        <v>476</v>
      </c>
      <c r="D19" s="140">
        <v>1</v>
      </c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3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2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2"/>
      <c r="C22" s="135"/>
      <c r="D22" s="140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2"/>
      <c r="C23" s="135"/>
      <c r="D23" s="140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2"/>
      <c r="C24" s="135"/>
      <c r="D24" s="140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4"/>
      <c r="C25" s="144"/>
      <c r="D25" s="140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516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E11" sqref="AE11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7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0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Abbot Whisper LS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Колибри</v>
      </c>
      <c r="W2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5">
        <v>155800</v>
      </c>
      <c r="AN2" s="206" t="s">
        <v>309</v>
      </c>
      <c r="AO2" s="207" t="s">
        <v>496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1</v>
      </c>
      <c r="K3" s="116">
        <f>IF(ISNUMBER(SEARCH('Карта учёта'!$B$19,Расходка[[#This Row],[Наименование расходного материала]])),MAX($K$1:K2)+1,0)</f>
        <v>0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7">
        <v>218190</v>
      </c>
      <c r="AN3" s="2" t="s">
        <v>489</v>
      </c>
      <c r="AO3" t="s">
        <v>497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7">
        <v>337440</v>
      </c>
      <c r="AN4" s="2" t="s">
        <v>502</v>
      </c>
      <c r="AO4" t="s">
        <v>499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0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5">
        <v>136170</v>
      </c>
      <c r="AN5" s="206"/>
      <c r="AO5" s="207" t="s">
        <v>498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7">
        <v>135820</v>
      </c>
      <c r="AN6" s="2"/>
      <c r="AO6" t="s">
        <v>501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5">
        <v>155760</v>
      </c>
      <c r="AN7" s="206"/>
      <c r="AO7" s="207" t="s">
        <v>495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7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7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учёта'!$B$17,Расходка[[#This Row],[Наименование расходного материала]])),MAX($I$1:I9)+1,0)</f>
        <v>1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0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7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учёта'!$B$17,Расходка[[#This Row],[Наименование расходного материала]])),MAX($I$1:I10)+1,0)</f>
        <v>2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7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0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7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7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v>19</v>
      </c>
      <c r="B20" t="s">
        <v>306</v>
      </c>
      <c r="C20" t="s">
        <v>505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v>21</v>
      </c>
      <c r="B22" t="s">
        <v>306</v>
      </c>
      <c r="C22" s="1" t="s">
        <v>507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v>22</v>
      </c>
      <c r="B23" t="s">
        <v>306</v>
      </c>
      <c r="C23" s="1" t="s">
        <v>509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v>29</v>
      </c>
      <c r="B30" t="s">
        <v>3</v>
      </c>
      <c r="C30" t="s">
        <v>511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v>30</v>
      </c>
      <c r="B31" t="s">
        <v>3</v>
      </c>
      <c r="C31" s="1" t="s">
        <v>512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v>31</v>
      </c>
      <c r="B32" t="s">
        <v>3</v>
      </c>
      <c r="C32" s="1" t="s">
        <v>513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v>44</v>
      </c>
      <c r="B45" t="s">
        <v>3</v>
      </c>
      <c r="C45" t="s">
        <v>520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v>45</v>
      </c>
      <c r="B46" t="s">
        <v>3</v>
      </c>
      <c r="C46" t="s">
        <v>521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1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v>48</v>
      </c>
      <c r="B49" t="s">
        <v>3</v>
      </c>
      <c r="C49" t="s">
        <v>510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0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v>50</v>
      </c>
      <c r="B51" t="s">
        <v>3</v>
      </c>
      <c r="C51" t="s">
        <v>508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v>51</v>
      </c>
      <c r="B52" t="s">
        <v>3</v>
      </c>
      <c r="C52" t="s">
        <v>519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>BMS, Integtity</v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447</v>
      </c>
    </row>
    <row r="54" spans="1:33">
      <c r="A54">
        <v>53</v>
      </c>
      <c r="B54" t="s">
        <v>6</v>
      </c>
      <c r="C54" s="155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0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>DES, Calipso</v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448</v>
      </c>
    </row>
    <row r="55" spans="1:33">
      <c r="A55">
        <v>54</v>
      </c>
      <c r="B55" t="s">
        <v>6</v>
      </c>
      <c r="C55" s="155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>DES, NanoMed</v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449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1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450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0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451</v>
      </c>
    </row>
    <row r="58" spans="1:33">
      <c r="A58">
        <v>57</v>
      </c>
      <c r="B58" t="s">
        <v>6</v>
      </c>
      <c r="C58" s="159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0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>DES, Firehawk</v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452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453</v>
      </c>
    </row>
    <row r="60" spans="1:33">
      <c r="A60">
        <v>59</v>
      </c>
      <c r="B60" t="s">
        <v>6</v>
      </c>
      <c r="C60" t="s">
        <v>517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0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454</v>
      </c>
    </row>
    <row r="61" spans="1:33">
      <c r="A61">
        <v>60</v>
      </c>
      <c r="B61" t="s">
        <v>6</v>
      </c>
      <c r="C61" t="s">
        <v>518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415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455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456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457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458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1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459</v>
      </c>
    </row>
    <row r="67" spans="1:33">
      <c r="A67">
        <v>66</v>
      </c>
      <c r="B67" t="s">
        <v>4</v>
      </c>
      <c r="C67" t="s">
        <v>327</v>
      </c>
      <c r="E67" s="195">
        <f>IF(ISNUMBER(SEARCH('Карта учёта'!$B$13,Расходка[[#This Row],[Наименование расходного материала]])),MAX($E$1:E66)+1,0)</f>
        <v>0</v>
      </c>
      <c r="F67" s="195">
        <f>IF(ISNUMBER(SEARCH('Карта учёта'!$B$14,Расходка[[#This Row],[Наименование расходного материала]])),MAX($F$1:F66)+1,0)</f>
        <v>0</v>
      </c>
      <c r="G67" s="195">
        <f>IF(ISNUMBER(SEARCH('Карта учёта'!$B$15,Расходка[[#This Row],[Наименование расходного материала]])),MAX($G$1:G66)+1,0)</f>
        <v>0</v>
      </c>
      <c r="H67" s="195">
        <f>IF(ISNUMBER(SEARCH('Карта учёта'!$B$16,Расходка[[#This Row],[Наименование расходного материала]])),MAX($H$1:H66)+1,0)</f>
        <v>0</v>
      </c>
      <c r="I67" s="195">
        <f>IF(ISNUMBER(SEARCH('Карта учёта'!$B$17,Расходка[[#This Row],[Наименование расходного материала]])),MAX($I$1:I66)+1,0)</f>
        <v>0</v>
      </c>
      <c r="J67" s="195">
        <f>IF(ISNUMBER(SEARCH('Карта учёта'!$B$18,Расходка[[#This Row],[Наименование расходного материала]])),MAX($J$1:J66)+1,0)</f>
        <v>0</v>
      </c>
      <c r="K67" s="195">
        <f>IF(ISNUMBER(SEARCH('Карта учёта'!$B$19,Расходка[[#This Row],[Наименование расходного материала]])),MAX($K$1:K66)+1,0)</f>
        <v>0</v>
      </c>
      <c r="L67" s="195">
        <f>IF(ISNUMBER(SEARCH('Карта учёта'!$B$20,Расходка[[#This Row],[Наименование расходного материала]])),MAX($L$1:L66)+1,0)</f>
        <v>66</v>
      </c>
      <c r="M67" s="195">
        <f>IF(ISNUMBER(SEARCH('Карта учёта'!$B$21,Расходка[[#This Row],[Наименование расходного материала]])),MAX($M$1:M66)+1,0)</f>
        <v>66</v>
      </c>
      <c r="N67" s="195">
        <f>IF(ISNUMBER(SEARCH('Карта учёта'!$B$22,Расходка[[#This Row],[Наименование расходного материала]])),MAX($N$1:N66)+1,0)</f>
        <v>66</v>
      </c>
      <c r="O67" s="195">
        <f>IF(ISNUMBER(SEARCH('Карта учёта'!$B$23,Расходка[[#This Row],[Наименование расходного материала]])),MAX($O$1:O66)+1,0)</f>
        <v>66</v>
      </c>
      <c r="P67" s="195">
        <f>IF(ISNUMBER(SEARCH('Карта учёта'!$B$24,Расходка[[#This Row],[Наименование расходного материала]])),MAX($P$1:P66)+1,0)</f>
        <v>66</v>
      </c>
      <c r="Q67" s="195">
        <f>IF(ISNUMBER(SEARCH('Карта учёта'!$B$25,Расходка[[#This Row],[Наименование расходного материала]])),MAX($Q$1:Q66)+1,0)</f>
        <v>66</v>
      </c>
      <c r="R67" s="196" t="str">
        <f>IFERROR(INDEX(Расходка[Наименование расходного материала],MATCH(Расходка[[#This Row],[№]],Поиск_расходки[Индекс1],0)),"")</f>
        <v/>
      </c>
      <c r="S67" s="196" t="str">
        <f>IFERROR(INDEX(Расходка[Наименование расходного материала],MATCH(Расходка[[#This Row],[№]],Поиск_расходки[Индекс2],0)),"")</f>
        <v/>
      </c>
      <c r="T67" s="196" t="str">
        <f>IFERROR(INDEX(Расходка[Наименование расходного материала],MATCH(Расходка[[#This Row],[№]],Поиск_расходки[Индекс3],0)),"")</f>
        <v/>
      </c>
      <c r="U67" s="196" t="str">
        <f>IFERROR(INDEX(Расходка[Наименование расходного материала],MATCH(Расходка[[#This Row],[№]],Поиск_расходки[Индекс4],0)),"")</f>
        <v/>
      </c>
      <c r="V67" s="196" t="str">
        <f>IFERROR(INDEX(Расходка[Наименование расходного материала],MATCH(Расходка[[#This Row],[№]],Поиск_расходки[Индекс5],0)),"")</f>
        <v/>
      </c>
      <c r="W67" s="196" t="str">
        <f>IFERROR(INDEX(Расходка[Наименование расходного материала],MATCH(Расходка[[#This Row],[№]],Поиск_расходки[Индекс6],0)),"")</f>
        <v/>
      </c>
      <c r="X67" s="196" t="str">
        <f>IFERROR(INDEX(Расходка[Наименование расходного материала],MATCH(Расходка[[#This Row],[№]],Поиск_расходки[Индекс7],0)),"")</f>
        <v/>
      </c>
      <c r="Y67" s="196" t="str">
        <f>IFERROR(INDEX(Расходка[Наименование расходного материала],MATCH(Расходка[[#This Row],[№]],Поиск_расходки[Индекс8],0)),"")</f>
        <v>Launcher 6F EBU 4.0</v>
      </c>
      <c r="Z67" s="196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6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6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6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6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460</v>
      </c>
    </row>
    <row r="68" spans="1:33">
      <c r="A68">
        <v>67</v>
      </c>
      <c r="B68" t="s">
        <v>4</v>
      </c>
      <c r="C68" t="s">
        <v>328</v>
      </c>
      <c r="E68" s="195">
        <f>IF(ISNUMBER(SEARCH('Карта учёта'!$B$13,Расходка[[#This Row],[Наименование расходного материала]])),MAX($E$1:E67)+1,0)</f>
        <v>0</v>
      </c>
      <c r="F68" s="195">
        <f>IF(ISNUMBER(SEARCH('Карта учёта'!$B$14,Расходка[[#This Row],[Наименование расходного материала]])),MAX($F$1:F67)+1,0)</f>
        <v>0</v>
      </c>
      <c r="G68" s="195">
        <f>IF(ISNUMBER(SEARCH('Карта учёта'!$B$15,Расходка[[#This Row],[Наименование расходного материала]])),MAX($G$1:G67)+1,0)</f>
        <v>0</v>
      </c>
      <c r="H68" s="195">
        <f>IF(ISNUMBER(SEARCH('Карта учёта'!$B$16,Расходка[[#This Row],[Наименование расходного материала]])),MAX($H$1:H67)+1,0)</f>
        <v>0</v>
      </c>
      <c r="I68" s="195">
        <f>IF(ISNUMBER(SEARCH('Карта учёта'!$B$17,Расходка[[#This Row],[Наименование расходного материала]])),MAX($I$1:I67)+1,0)</f>
        <v>0</v>
      </c>
      <c r="J68" s="195">
        <f>IF(ISNUMBER(SEARCH('Карта учёта'!$B$18,Расходка[[#This Row],[Наименование расходного материала]])),MAX($J$1:J67)+1,0)</f>
        <v>0</v>
      </c>
      <c r="K68" s="195">
        <f>IF(ISNUMBER(SEARCH('Карта учёта'!$B$19,Расходка[[#This Row],[Наименование расходного материала]])),MAX($K$1:K67)+1,0)</f>
        <v>0</v>
      </c>
      <c r="L68" s="195">
        <f>IF(ISNUMBER(SEARCH('Карта учёта'!$B$20,Расходка[[#This Row],[Наименование расходного материала]])),MAX($L$1:L67)+1,0)</f>
        <v>67</v>
      </c>
      <c r="M68" s="195">
        <f>IF(ISNUMBER(SEARCH('Карта учёта'!$B$21,Расходка[[#This Row],[Наименование расходного материала]])),MAX($M$1:M67)+1,0)</f>
        <v>67</v>
      </c>
      <c r="N68" s="195">
        <f>IF(ISNUMBER(SEARCH('Карта учёта'!$B$22,Расходка[[#This Row],[Наименование расходного материала]])),MAX($N$1:N67)+1,0)</f>
        <v>67</v>
      </c>
      <c r="O68" s="195">
        <f>IF(ISNUMBER(SEARCH('Карта учёта'!$B$23,Расходка[[#This Row],[Наименование расходного материала]])),MAX($O$1:O67)+1,0)</f>
        <v>67</v>
      </c>
      <c r="P68" s="195">
        <f>IF(ISNUMBER(SEARCH('Карта учёта'!$B$24,Расходка[[#This Row],[Наименование расходного материала]])),MAX($P$1:P67)+1,0)</f>
        <v>67</v>
      </c>
      <c r="Q68" s="195">
        <f>IF(ISNUMBER(SEARCH('Карта учёта'!$B$25,Расходка[[#This Row],[Наименование расходного материала]])),MAX($Q$1:Q67)+1,0)</f>
        <v>67</v>
      </c>
      <c r="R68" s="196" t="str">
        <f>IFERROR(INDEX(Расходка[Наименование расходного материала],MATCH(Расходка[[#This Row],[№]],Поиск_расходки[Индекс1],0)),"")</f>
        <v/>
      </c>
      <c r="S68" s="196" t="str">
        <f>IFERROR(INDEX(Расходка[Наименование расходного материала],MATCH(Расходка[[#This Row],[№]],Поиск_расходки[Индекс2],0)),"")</f>
        <v/>
      </c>
      <c r="T68" s="196" t="str">
        <f>IFERROR(INDEX(Расходка[Наименование расходного материала],MATCH(Расходка[[#This Row],[№]],Поиск_расходки[Индекс3],0)),"")</f>
        <v/>
      </c>
      <c r="U68" s="196" t="str">
        <f>IFERROR(INDEX(Расходка[Наименование расходного материала],MATCH(Расходка[[#This Row],[№]],Поиск_расходки[Индекс4],0)),"")</f>
        <v/>
      </c>
      <c r="V68" s="196" t="str">
        <f>IFERROR(INDEX(Расходка[Наименование расходного материала],MATCH(Расходка[[#This Row],[№]],Поиск_расходки[Индекс5],0)),"")</f>
        <v/>
      </c>
      <c r="W68" s="196" t="str">
        <f>IFERROR(INDEX(Расходка[Наименование расходного материала],MATCH(Расходка[[#This Row],[№]],Поиск_расходки[Индекс6],0)),"")</f>
        <v/>
      </c>
      <c r="X68" s="196" t="str">
        <f>IFERROR(INDEX(Расходка[Наименование расходного материала],MATCH(Расходка[[#This Row],[№]],Поиск_расходки[Индекс7],0)),"")</f>
        <v/>
      </c>
      <c r="Y68" s="196" t="str">
        <f>IFERROR(INDEX(Расходка[Наименование расходного материала],MATCH(Расходка[[#This Row],[№]],Поиск_расходки[Индекс8],0)),"")</f>
        <v>Launcher 6F JL 3.5</v>
      </c>
      <c r="Z68" s="196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6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6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6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6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461</v>
      </c>
    </row>
    <row r="69" spans="1:33">
      <c r="A69">
        <v>68</v>
      </c>
      <c r="B69" t="s">
        <v>4</v>
      </c>
      <c r="C69" t="s">
        <v>329</v>
      </c>
      <c r="E69" s="195">
        <f>IF(ISNUMBER(SEARCH('Карта учёта'!$B$13,Расходка[[#This Row],[Наименование расходного материала]])),MAX($E$1:E68)+1,0)</f>
        <v>0</v>
      </c>
      <c r="F69" s="195">
        <f>IF(ISNUMBER(SEARCH('Карта учёта'!$B$14,Расходка[[#This Row],[Наименование расходного материала]])),MAX($F$1:F68)+1,0)</f>
        <v>0</v>
      </c>
      <c r="G69" s="195">
        <f>IF(ISNUMBER(SEARCH('Карта учёта'!$B$15,Расходка[[#This Row],[Наименование расходного материала]])),MAX($G$1:G68)+1,0)</f>
        <v>0</v>
      </c>
      <c r="H69" s="195">
        <f>IF(ISNUMBER(SEARCH('Карта учёта'!$B$16,Расходка[[#This Row],[Наименование расходного материала]])),MAX($H$1:H68)+1,0)</f>
        <v>0</v>
      </c>
      <c r="I69" s="195">
        <f>IF(ISNUMBER(SEARCH('Карта учёта'!$B$17,Расходка[[#This Row],[Наименование расходного материала]])),MAX($I$1:I68)+1,0)</f>
        <v>0</v>
      </c>
      <c r="J69" s="195">
        <f>IF(ISNUMBER(SEARCH('Карта учёта'!$B$18,Расходка[[#This Row],[Наименование расходного материала]])),MAX($J$1:J68)+1,0)</f>
        <v>0</v>
      </c>
      <c r="K69" s="195">
        <f>IF(ISNUMBER(SEARCH('Карта учёта'!$B$19,Расходка[[#This Row],[Наименование расходного материала]])),MAX($K$1:K68)+1,0)</f>
        <v>0</v>
      </c>
      <c r="L69" s="195">
        <f>IF(ISNUMBER(SEARCH('Карта учёта'!$B$20,Расходка[[#This Row],[Наименование расходного материала]])),MAX($L$1:L68)+1,0)</f>
        <v>68</v>
      </c>
      <c r="M69" s="195">
        <f>IF(ISNUMBER(SEARCH('Карта учёта'!$B$21,Расходка[[#This Row],[Наименование расходного материала]])),MAX($M$1:M68)+1,0)</f>
        <v>68</v>
      </c>
      <c r="N69" s="195">
        <f>IF(ISNUMBER(SEARCH('Карта учёта'!$B$22,Расходка[[#This Row],[Наименование расходного материала]])),MAX($N$1:N68)+1,0)</f>
        <v>68</v>
      </c>
      <c r="O69" s="195">
        <f>IF(ISNUMBER(SEARCH('Карта учёта'!$B$23,Расходка[[#This Row],[Наименование расходного материала]])),MAX($O$1:O68)+1,0)</f>
        <v>68</v>
      </c>
      <c r="P69" s="195">
        <f>IF(ISNUMBER(SEARCH('Карта учёта'!$B$24,Расходка[[#This Row],[Наименование расходного материала]])),MAX($P$1:P68)+1,0)</f>
        <v>68</v>
      </c>
      <c r="Q69" s="195">
        <f>IF(ISNUMBER(SEARCH('Карта учёта'!$B$25,Расходка[[#This Row],[Наименование расходного материала]])),MAX($Q$1:Q68)+1,0)</f>
        <v>68</v>
      </c>
      <c r="R69" s="196" t="str">
        <f>IFERROR(INDEX(Расходка[Наименование расходного материала],MATCH(Расходка[[#This Row],[№]],Поиск_расходки[Индекс1],0)),"")</f>
        <v/>
      </c>
      <c r="S69" s="196" t="str">
        <f>IFERROR(INDEX(Расходка[Наименование расходного материала],MATCH(Расходка[[#This Row],[№]],Поиск_расходки[Индекс2],0)),"")</f>
        <v/>
      </c>
      <c r="T69" s="196" t="str">
        <f>IFERROR(INDEX(Расходка[Наименование расходного материала],MATCH(Расходка[[#This Row],[№]],Поиск_расходки[Индекс3],0)),"")</f>
        <v/>
      </c>
      <c r="U69" s="196" t="str">
        <f>IFERROR(INDEX(Расходка[Наименование расходного материала],MATCH(Расходка[[#This Row],[№]],Поиск_расходки[Индекс4],0)),"")</f>
        <v/>
      </c>
      <c r="V69" s="196" t="str">
        <f>IFERROR(INDEX(Расходка[Наименование расходного материала],MATCH(Расходка[[#This Row],[№]],Поиск_расходки[Индекс5],0)),"")</f>
        <v/>
      </c>
      <c r="W69" s="196" t="str">
        <f>IFERROR(INDEX(Расходка[Наименование расходного материала],MATCH(Расходка[[#This Row],[№]],Поиск_расходки[Индекс6],0)),"")</f>
        <v/>
      </c>
      <c r="X69" s="196" t="str">
        <f>IFERROR(INDEX(Расходка[Наименование расходного материала],MATCH(Расходка[[#This Row],[№]],Поиск_расходки[Индекс7],0)),"")</f>
        <v/>
      </c>
      <c r="Y69" s="196" t="str">
        <f>IFERROR(INDEX(Расходка[Наименование расходного материала],MATCH(Расходка[[#This Row],[№]],Поиск_расходки[Индекс8],0)),"")</f>
        <v>Launcher 6F JL 4.0</v>
      </c>
      <c r="Z69" s="196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6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6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6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6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462</v>
      </c>
    </row>
    <row r="70" spans="1:33">
      <c r="A70">
        <v>69</v>
      </c>
      <c r="B70" t="s">
        <v>4</v>
      </c>
      <c r="C70" t="s">
        <v>335</v>
      </c>
      <c r="E70" s="195">
        <f>IF(ISNUMBER(SEARCH('Карта учёта'!$B$13,Расходка[[#This Row],[Наименование расходного материала]])),MAX($E$1:E69)+1,0)</f>
        <v>0</v>
      </c>
      <c r="F70" s="195">
        <f>IF(ISNUMBER(SEARCH('Карта учёта'!$B$14,Расходка[[#This Row],[Наименование расходного материала]])),MAX($F$1:F69)+1,0)</f>
        <v>0</v>
      </c>
      <c r="G70" s="195">
        <f>IF(ISNUMBER(SEARCH('Карта учёта'!$B$15,Расходка[[#This Row],[Наименование расходного материала]])),MAX($G$1:G69)+1,0)</f>
        <v>0</v>
      </c>
      <c r="H70" s="195">
        <f>IF(ISNUMBER(SEARCH('Карта учёта'!$B$16,Расходка[[#This Row],[Наименование расходного материала]])),MAX($H$1:H69)+1,0)</f>
        <v>0</v>
      </c>
      <c r="I70" s="195">
        <f>IF(ISNUMBER(SEARCH('Карта учёта'!$B$17,Расходка[[#This Row],[Наименование расходного материала]])),MAX($I$1:I69)+1,0)</f>
        <v>0</v>
      </c>
      <c r="J70" s="195">
        <f>IF(ISNUMBER(SEARCH('Карта учёта'!$B$18,Расходка[[#This Row],[Наименование расходного материала]])),MAX($J$1:J69)+1,0)</f>
        <v>0</v>
      </c>
      <c r="K70" s="195">
        <f>IF(ISNUMBER(SEARCH('Карта учёта'!$B$19,Расходка[[#This Row],[Наименование расходного материала]])),MAX($K$1:K69)+1,0)</f>
        <v>0</v>
      </c>
      <c r="L70" s="195">
        <f>IF(ISNUMBER(SEARCH('Карта учёта'!$B$20,Расходка[[#This Row],[Наименование расходного материала]])),MAX($L$1:L69)+1,0)</f>
        <v>69</v>
      </c>
      <c r="M70" s="195">
        <f>IF(ISNUMBER(SEARCH('Карта учёта'!$B$21,Расходка[[#This Row],[Наименование расходного материала]])),MAX($M$1:M69)+1,0)</f>
        <v>69</v>
      </c>
      <c r="N70" s="195">
        <f>IF(ISNUMBER(SEARCH('Карта учёта'!$B$22,Расходка[[#This Row],[Наименование расходного материала]])),MAX($N$1:N69)+1,0)</f>
        <v>69</v>
      </c>
      <c r="O70" s="195">
        <f>IF(ISNUMBER(SEARCH('Карта учёта'!$B$23,Расходка[[#This Row],[Наименование расходного материала]])),MAX($O$1:O69)+1,0)</f>
        <v>69</v>
      </c>
      <c r="P70" s="195">
        <f>IF(ISNUMBER(SEARCH('Карта учёта'!$B$24,Расходка[[#This Row],[Наименование расходного материала]])),MAX($P$1:P69)+1,0)</f>
        <v>69</v>
      </c>
      <c r="Q70" s="195">
        <f>IF(ISNUMBER(SEARCH('Карта учёта'!$B$25,Расходка[[#This Row],[Наименование расходного материала]])),MAX($Q$1:Q69)+1,0)</f>
        <v>69</v>
      </c>
      <c r="R70" s="196" t="str">
        <f>IFERROR(INDEX(Расходка[Наименование расходного материала],MATCH(Расходка[[#This Row],[№]],Поиск_расходки[Индекс1],0)),"")</f>
        <v/>
      </c>
      <c r="S70" s="196" t="str">
        <f>IFERROR(INDEX(Расходка[Наименование расходного материала],MATCH(Расходка[[#This Row],[№]],Поиск_расходки[Индекс2],0)),"")</f>
        <v/>
      </c>
      <c r="T70" s="196" t="str">
        <f>IFERROR(INDEX(Расходка[Наименование расходного материала],MATCH(Расходка[[#This Row],[№]],Поиск_расходки[Индекс3],0)),"")</f>
        <v/>
      </c>
      <c r="U70" s="196" t="str">
        <f>IFERROR(INDEX(Расходка[Наименование расходного материала],MATCH(Расходка[[#This Row],[№]],Поиск_расходки[Индекс4],0)),"")</f>
        <v/>
      </c>
      <c r="V70" s="196" t="str">
        <f>IFERROR(INDEX(Расходка[Наименование расходного материала],MATCH(Расходка[[#This Row],[№]],Поиск_расходки[Индекс5],0)),"")</f>
        <v/>
      </c>
      <c r="W70" s="196" t="str">
        <f>IFERROR(INDEX(Расходка[Наименование расходного материала],MATCH(Расходка[[#This Row],[№]],Поиск_расходки[Индекс6],0)),"")</f>
        <v/>
      </c>
      <c r="X70" s="196" t="str">
        <f>IFERROR(INDEX(Расходка[Наименование расходного материала],MATCH(Расходка[[#This Row],[№]],Поиск_расходки[Индекс7],0)),"")</f>
        <v/>
      </c>
      <c r="Y70" s="196" t="str">
        <f>IFERROR(INDEX(Расходка[Наименование расходного материала],MATCH(Расходка[[#This Row],[№]],Поиск_расходки[Индекс8],0)),"")</f>
        <v>Launcher 6F JL 4.5</v>
      </c>
      <c r="Z70" s="196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6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6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6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6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463</v>
      </c>
    </row>
    <row r="71" spans="1:33">
      <c r="A71">
        <v>70</v>
      </c>
      <c r="B71" t="s">
        <v>4</v>
      </c>
      <c r="C71" t="s">
        <v>330</v>
      </c>
      <c r="E71" s="195">
        <f>IF(ISNUMBER(SEARCH('Карта учёта'!$B$13,Расходка[[#This Row],[Наименование расходного материала]])),MAX($E$1:E70)+1,0)</f>
        <v>0</v>
      </c>
      <c r="F71" s="195">
        <f>IF(ISNUMBER(SEARCH('Карта учёта'!$B$14,Расходка[[#This Row],[Наименование расходного материала]])),MAX($F$1:F70)+1,0)</f>
        <v>0</v>
      </c>
      <c r="G71" s="195">
        <f>IF(ISNUMBER(SEARCH('Карта учёта'!$B$15,Расходка[[#This Row],[Наименование расходного материала]])),MAX($G$1:G70)+1,0)</f>
        <v>0</v>
      </c>
      <c r="H71" s="195">
        <f>IF(ISNUMBER(SEARCH('Карта учёта'!$B$16,Расходка[[#This Row],[Наименование расходного материала]])),MAX($H$1:H70)+1,0)</f>
        <v>0</v>
      </c>
      <c r="I71" s="195">
        <f>IF(ISNUMBER(SEARCH('Карта учёта'!$B$17,Расходка[[#This Row],[Наименование расходного материала]])),MAX($I$1:I70)+1,0)</f>
        <v>0</v>
      </c>
      <c r="J71" s="195">
        <f>IF(ISNUMBER(SEARCH('Карта учёта'!$B$18,Расходка[[#This Row],[Наименование расходного материала]])),MAX($J$1:J70)+1,0)</f>
        <v>0</v>
      </c>
      <c r="K71" s="195">
        <f>IF(ISNUMBER(SEARCH('Карта учёта'!$B$19,Расходка[[#This Row],[Наименование расходного материала]])),MAX($K$1:K70)+1,0)</f>
        <v>0</v>
      </c>
      <c r="L71" s="195">
        <f>IF(ISNUMBER(SEARCH('Карта учёта'!$B$20,Расходка[[#This Row],[Наименование расходного материала]])),MAX($L$1:L70)+1,0)</f>
        <v>70</v>
      </c>
      <c r="M71" s="195">
        <f>IF(ISNUMBER(SEARCH('Карта учёта'!$B$21,Расходка[[#This Row],[Наименование расходного материала]])),MAX($M$1:M70)+1,0)</f>
        <v>70</v>
      </c>
      <c r="N71" s="195">
        <f>IF(ISNUMBER(SEARCH('Карта учёта'!$B$22,Расходка[[#This Row],[Наименование расходного материала]])),MAX($N$1:N70)+1,0)</f>
        <v>70</v>
      </c>
      <c r="O71" s="195">
        <f>IF(ISNUMBER(SEARCH('Карта учёта'!$B$23,Расходка[[#This Row],[Наименование расходного материала]])),MAX($O$1:O70)+1,0)</f>
        <v>70</v>
      </c>
      <c r="P71" s="195">
        <f>IF(ISNUMBER(SEARCH('Карта учёта'!$B$24,Расходка[[#This Row],[Наименование расходного материала]])),MAX($P$1:P70)+1,0)</f>
        <v>70</v>
      </c>
      <c r="Q71" s="195">
        <f>IF(ISNUMBER(SEARCH('Карта учёта'!$B$25,Расходка[[#This Row],[Наименование расходного материала]])),MAX($Q$1:Q70)+1,0)</f>
        <v>70</v>
      </c>
      <c r="R71" s="196" t="str">
        <f>IFERROR(INDEX(Расходка[Наименование расходного материала],MATCH(Расходка[[#This Row],[№]],Поиск_расходки[Индекс1],0)),"")</f>
        <v/>
      </c>
      <c r="S71" s="196" t="str">
        <f>IFERROR(INDEX(Расходка[Наименование расходного материала],MATCH(Расходка[[#This Row],[№]],Поиск_расходки[Индекс2],0)),"")</f>
        <v/>
      </c>
      <c r="T71" s="196" t="str">
        <f>IFERROR(INDEX(Расходка[Наименование расходного материала],MATCH(Расходка[[#This Row],[№]],Поиск_расходки[Индекс3],0)),"")</f>
        <v/>
      </c>
      <c r="U71" s="196" t="str">
        <f>IFERROR(INDEX(Расходка[Наименование расходного материала],MATCH(Расходка[[#This Row],[№]],Поиск_расходки[Индекс4],0)),"")</f>
        <v/>
      </c>
      <c r="V71" s="196" t="str">
        <f>IFERROR(INDEX(Расходка[Наименование расходного материала],MATCH(Расходка[[#This Row],[№]],Поиск_расходки[Индекс5],0)),"")</f>
        <v/>
      </c>
      <c r="W71" s="196" t="str">
        <f>IFERROR(INDEX(Расходка[Наименование расходного материала],MATCH(Расходка[[#This Row],[№]],Поиск_расходки[Индекс6],0)),"")</f>
        <v/>
      </c>
      <c r="X71" s="196" t="str">
        <f>IFERROR(INDEX(Расходка[Наименование расходного материала],MATCH(Расходка[[#This Row],[№]],Поиск_расходки[Индекс7],0)),"")</f>
        <v/>
      </c>
      <c r="Y71" s="196" t="str">
        <f>IFERROR(INDEX(Расходка[Наименование расходного материала],MATCH(Расходка[[#This Row],[№]],Поиск_расходки[Индекс8],0)),"")</f>
        <v>Launcher 6F JR 3.5</v>
      </c>
      <c r="Z71" s="196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6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6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6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6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418</v>
      </c>
    </row>
    <row r="72" spans="1:33">
      <c r="A72">
        <v>71</v>
      </c>
      <c r="B72" t="s">
        <v>4</v>
      </c>
      <c r="C72" t="s">
        <v>331</v>
      </c>
      <c r="E72" s="195">
        <f>IF(ISNUMBER(SEARCH('Карта учёта'!$B$13,Расходка[[#This Row],[Наименование расходного материала]])),MAX($E$1:E71)+1,0)</f>
        <v>0</v>
      </c>
      <c r="F72" s="195">
        <f>IF(ISNUMBER(SEARCH('Карта учёта'!$B$14,Расходка[[#This Row],[Наименование расходного материала]])),MAX($F$1:F71)+1,0)</f>
        <v>0</v>
      </c>
      <c r="G72" s="195">
        <f>IF(ISNUMBER(SEARCH('Карта учёта'!$B$15,Расходка[[#This Row],[Наименование расходного материала]])),MAX($G$1:G71)+1,0)</f>
        <v>0</v>
      </c>
      <c r="H72" s="195">
        <f>IF(ISNUMBER(SEARCH('Карта учёта'!$B$16,Расходка[[#This Row],[Наименование расходного материала]])),MAX($H$1:H71)+1,0)</f>
        <v>0</v>
      </c>
      <c r="I72" s="195">
        <f>IF(ISNUMBER(SEARCH('Карта учёта'!$B$17,Расходка[[#This Row],[Наименование расходного материала]])),MAX($I$1:I71)+1,0)</f>
        <v>0</v>
      </c>
      <c r="J72" s="195">
        <f>IF(ISNUMBER(SEARCH('Карта учёта'!$B$18,Расходка[[#This Row],[Наименование расходного материала]])),MAX($J$1:J71)+1,0)</f>
        <v>0</v>
      </c>
      <c r="K72" s="195">
        <f>IF(ISNUMBER(SEARCH('Карта учёта'!$B$19,Расходка[[#This Row],[Наименование расходного материала]])),MAX($K$1:K71)+1,0)</f>
        <v>0</v>
      </c>
      <c r="L72" s="195">
        <f>IF(ISNUMBER(SEARCH('Карта учёта'!$B$20,Расходка[[#This Row],[Наименование расходного материала]])),MAX($L$1:L71)+1,0)</f>
        <v>71</v>
      </c>
      <c r="M72" s="195">
        <f>IF(ISNUMBER(SEARCH('Карта учёта'!$B$21,Расходка[[#This Row],[Наименование расходного материала]])),MAX($M$1:M71)+1,0)</f>
        <v>71</v>
      </c>
      <c r="N72" s="195">
        <f>IF(ISNUMBER(SEARCH('Карта учёта'!$B$22,Расходка[[#This Row],[Наименование расходного материала]])),MAX($N$1:N71)+1,0)</f>
        <v>71</v>
      </c>
      <c r="O72" s="195">
        <f>IF(ISNUMBER(SEARCH('Карта учёта'!$B$23,Расходка[[#This Row],[Наименование расходного материала]])),MAX($O$1:O71)+1,0)</f>
        <v>71</v>
      </c>
      <c r="P72" s="195">
        <f>IF(ISNUMBER(SEARCH('Карта учёта'!$B$24,Расходка[[#This Row],[Наименование расходного материала]])),MAX($P$1:P71)+1,0)</f>
        <v>71</v>
      </c>
      <c r="Q72" s="195">
        <f>IF(ISNUMBER(SEARCH('Карта учёта'!$B$25,Расходка[[#This Row],[Наименование расходного материала]])),MAX($Q$1:Q71)+1,0)</f>
        <v>71</v>
      </c>
      <c r="R72" s="196" t="str">
        <f>IFERROR(INDEX(Расходка[Наименование расходного материала],MATCH(Расходка[[#This Row],[№]],Поиск_расходки[Индекс1],0)),"")</f>
        <v/>
      </c>
      <c r="S72" s="196" t="str">
        <f>IFERROR(INDEX(Расходка[Наименование расходного материала],MATCH(Расходка[[#This Row],[№]],Поиск_расходки[Индекс2],0)),"")</f>
        <v/>
      </c>
      <c r="T72" s="196" t="str">
        <f>IFERROR(INDEX(Расходка[Наименование расходного материала],MATCH(Расходка[[#This Row],[№]],Поиск_расходки[Индекс3],0)),"")</f>
        <v/>
      </c>
      <c r="U72" s="196" t="str">
        <f>IFERROR(INDEX(Расходка[Наименование расходного материала],MATCH(Расходка[[#This Row],[№]],Поиск_расходки[Индекс4],0)),"")</f>
        <v/>
      </c>
      <c r="V72" s="196" t="str">
        <f>IFERROR(INDEX(Расходка[Наименование расходного материала],MATCH(Расходка[[#This Row],[№]],Поиск_расходки[Индекс5],0)),"")</f>
        <v/>
      </c>
      <c r="W72" s="196" t="str">
        <f>IFERROR(INDEX(Расходка[Наименование расходного материала],MATCH(Расходка[[#This Row],[№]],Поиск_расходки[Индекс6],0)),"")</f>
        <v/>
      </c>
      <c r="X72" s="196" t="str">
        <f>IFERROR(INDEX(Расходка[Наименование расходного материала],MATCH(Расходка[[#This Row],[№]],Поиск_расходки[Индекс7],0)),"")</f>
        <v/>
      </c>
      <c r="Y72" s="196" t="str">
        <f>IFERROR(INDEX(Расходка[Наименование расходного материала],MATCH(Расходка[[#This Row],[№]],Поиск_расходки[Индекс8],0)),"")</f>
        <v>Launcher 6F JR 4.0</v>
      </c>
      <c r="Z72" s="196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6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6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6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6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464</v>
      </c>
    </row>
    <row r="73" spans="1:33">
      <c r="A73">
        <v>72</v>
      </c>
      <c r="B73" t="s">
        <v>4</v>
      </c>
      <c r="C73" t="s">
        <v>341</v>
      </c>
      <c r="E73" s="195">
        <f>IF(ISNUMBER(SEARCH('Карта учёта'!$B$13,Расходка[[#This Row],[Наименование расходного материала]])),MAX($E$1:E72)+1,0)</f>
        <v>0</v>
      </c>
      <c r="F73" s="195">
        <f>IF(ISNUMBER(SEARCH('Карта учёта'!$B$14,Расходка[[#This Row],[Наименование расходного материала]])),MAX($F$1:F72)+1,0)</f>
        <v>0</v>
      </c>
      <c r="G73" s="195">
        <f>IF(ISNUMBER(SEARCH('Карта учёта'!$B$15,Расходка[[#This Row],[Наименование расходного материала]])),MAX($G$1:G72)+1,0)</f>
        <v>0</v>
      </c>
      <c r="H73" s="195">
        <f>IF(ISNUMBER(SEARCH('Карта учёта'!$B$16,Расходка[[#This Row],[Наименование расходного материала]])),MAX($H$1:H72)+1,0)</f>
        <v>0</v>
      </c>
      <c r="I73" s="195">
        <f>IF(ISNUMBER(SEARCH('Карта учёта'!$B$17,Расходка[[#This Row],[Наименование расходного материала]])),MAX($I$1:I72)+1,0)</f>
        <v>0</v>
      </c>
      <c r="J73" s="195">
        <f>IF(ISNUMBER(SEARCH('Карта учёта'!$B$18,Расходка[[#This Row],[Наименование расходного материала]])),MAX($J$1:J72)+1,0)</f>
        <v>0</v>
      </c>
      <c r="K73" s="195">
        <f>IF(ISNUMBER(SEARCH('Карта учёта'!$B$19,Расходка[[#This Row],[Наименование расходного материала]])),MAX($K$1:K72)+1,0)</f>
        <v>0</v>
      </c>
      <c r="L73" s="195">
        <f>IF(ISNUMBER(SEARCH('Карта учёта'!$B$20,Расходка[[#This Row],[Наименование расходного материала]])),MAX($L$1:L72)+1,0)</f>
        <v>72</v>
      </c>
      <c r="M73" s="195">
        <f>IF(ISNUMBER(SEARCH('Карта учёта'!$B$21,Расходка[[#This Row],[Наименование расходного материала]])),MAX($M$1:M72)+1,0)</f>
        <v>72</v>
      </c>
      <c r="N73" s="195">
        <f>IF(ISNUMBER(SEARCH('Карта учёта'!$B$22,Расходка[[#This Row],[Наименование расходного материала]])),MAX($N$1:N72)+1,0)</f>
        <v>72</v>
      </c>
      <c r="O73" s="195">
        <f>IF(ISNUMBER(SEARCH('Карта учёта'!$B$23,Расходка[[#This Row],[Наименование расходного материала]])),MAX($O$1:O72)+1,0)</f>
        <v>72</v>
      </c>
      <c r="P73" s="195">
        <f>IF(ISNUMBER(SEARCH('Карта учёта'!$B$24,Расходка[[#This Row],[Наименование расходного материала]])),MAX($P$1:P72)+1,0)</f>
        <v>72</v>
      </c>
      <c r="Q73" s="195">
        <f>IF(ISNUMBER(SEARCH('Карта учёта'!$B$25,Расходка[[#This Row],[Наименование расходного материала]])),MAX($Q$1:Q72)+1,0)</f>
        <v>72</v>
      </c>
      <c r="R73" s="196" t="str">
        <f>IFERROR(INDEX(Расходка[Наименование расходного материала],MATCH(Расходка[[#This Row],[№]],Поиск_расходки[Индекс1],0)),"")</f>
        <v/>
      </c>
      <c r="S73" s="196" t="str">
        <f>IFERROR(INDEX(Расходка[Наименование расходного материала],MATCH(Расходка[[#This Row],[№]],Поиск_расходки[Индекс2],0)),"")</f>
        <v/>
      </c>
      <c r="T73" s="196" t="str">
        <f>IFERROR(INDEX(Расходка[Наименование расходного материала],MATCH(Расходка[[#This Row],[№]],Поиск_расходки[Индекс3],0)),"")</f>
        <v/>
      </c>
      <c r="U73" s="196" t="str">
        <f>IFERROR(INDEX(Расходка[Наименование расходного материала],MATCH(Расходка[[#This Row],[№]],Поиск_расходки[Индекс4],0)),"")</f>
        <v/>
      </c>
      <c r="V73" s="196" t="str">
        <f>IFERROR(INDEX(Расходка[Наименование расходного материала],MATCH(Расходка[[#This Row],[№]],Поиск_расходки[Индекс5],0)),"")</f>
        <v/>
      </c>
      <c r="W73" s="196" t="str">
        <f>IFERROR(INDEX(Расходка[Наименование расходного материала],MATCH(Расходка[[#This Row],[№]],Поиск_расходки[Индекс6],0)),"")</f>
        <v/>
      </c>
      <c r="X73" s="196" t="str">
        <f>IFERROR(INDEX(Расходка[Наименование расходного материала],MATCH(Расходка[[#This Row],[№]],Поиск_расходки[Индекс7],0)),"")</f>
        <v/>
      </c>
      <c r="Y73" s="196" t="str">
        <f>IFERROR(INDEX(Расходка[Наименование расходного материала],MATCH(Расходка[[#This Row],[№]],Поиск_расходки[Индекс8],0)),"")</f>
        <v>Launcher 7F JL 3.5</v>
      </c>
      <c r="Z73" s="196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6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6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6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6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419</v>
      </c>
    </row>
    <row r="74" spans="1:33">
      <c r="A74">
        <v>73</v>
      </c>
      <c r="B74" t="s">
        <v>4</v>
      </c>
      <c r="C74" t="s">
        <v>340</v>
      </c>
      <c r="E74" s="195">
        <f>IF(ISNUMBER(SEARCH('Карта учёта'!$B$13,Расходка[[#This Row],[Наименование расходного материала]])),MAX($E$1:E73)+1,0)</f>
        <v>0</v>
      </c>
      <c r="F74" s="195">
        <f>IF(ISNUMBER(SEARCH('Карта учёта'!$B$14,Расходка[[#This Row],[Наименование расходного материала]])),MAX($F$1:F73)+1,0)</f>
        <v>0</v>
      </c>
      <c r="G74" s="195">
        <f>IF(ISNUMBER(SEARCH('Карта учёта'!$B$15,Расходка[[#This Row],[Наименование расходного материала]])),MAX($G$1:G73)+1,0)</f>
        <v>0</v>
      </c>
      <c r="H74" s="195">
        <f>IF(ISNUMBER(SEARCH('Карта учёта'!$B$16,Расходка[[#This Row],[Наименование расходного материала]])),MAX($H$1:H73)+1,0)</f>
        <v>0</v>
      </c>
      <c r="I74" s="195">
        <f>IF(ISNUMBER(SEARCH('Карта учёта'!$B$17,Расходка[[#This Row],[Наименование расходного материала]])),MAX($I$1:I73)+1,0)</f>
        <v>0</v>
      </c>
      <c r="J74" s="195">
        <f>IF(ISNUMBER(SEARCH('Карта учёта'!$B$18,Расходка[[#This Row],[Наименование расходного материала]])),MAX($J$1:J73)+1,0)</f>
        <v>0</v>
      </c>
      <c r="K74" s="195">
        <f>IF(ISNUMBER(SEARCH('Карта учёта'!$B$19,Расходка[[#This Row],[Наименование расходного материала]])),MAX($K$1:K73)+1,0)</f>
        <v>0</v>
      </c>
      <c r="L74" s="195">
        <f>IF(ISNUMBER(SEARCH('Карта учёта'!$B$20,Расходка[[#This Row],[Наименование расходного материала]])),MAX($L$1:L73)+1,0)</f>
        <v>73</v>
      </c>
      <c r="M74" s="195">
        <f>IF(ISNUMBER(SEARCH('Карта учёта'!$B$21,Расходка[[#This Row],[Наименование расходного материала]])),MAX($M$1:M73)+1,0)</f>
        <v>73</v>
      </c>
      <c r="N74" s="195">
        <f>IF(ISNUMBER(SEARCH('Карта учёта'!$B$22,Расходка[[#This Row],[Наименование расходного материала]])),MAX($N$1:N73)+1,0)</f>
        <v>73</v>
      </c>
      <c r="O74" s="195">
        <f>IF(ISNUMBER(SEARCH('Карта учёта'!$B$23,Расходка[[#This Row],[Наименование расходного материала]])),MAX($O$1:O73)+1,0)</f>
        <v>73</v>
      </c>
      <c r="P74" s="195">
        <f>IF(ISNUMBER(SEARCH('Карта учёта'!$B$24,Расходка[[#This Row],[Наименование расходного материала]])),MAX($P$1:P73)+1,0)</f>
        <v>73</v>
      </c>
      <c r="Q74" s="195">
        <f>IF(ISNUMBER(SEARCH('Карта учёта'!$B$25,Расходка[[#This Row],[Наименование расходного материала]])),MAX($Q$1:Q73)+1,0)</f>
        <v>73</v>
      </c>
      <c r="R74" s="196" t="str">
        <f>IFERROR(INDEX(Расходка[Наименование расходного материала],MATCH(Расходка[[#This Row],[№]],Поиск_расходки[Индекс1],0)),"")</f>
        <v/>
      </c>
      <c r="S74" s="196" t="str">
        <f>IFERROR(INDEX(Расходка[Наименование расходного материала],MATCH(Расходка[[#This Row],[№]],Поиск_расходки[Индекс2],0)),"")</f>
        <v/>
      </c>
      <c r="T74" s="196" t="str">
        <f>IFERROR(INDEX(Расходка[Наименование расходного материала],MATCH(Расходка[[#This Row],[№]],Поиск_расходки[Индекс3],0)),"")</f>
        <v/>
      </c>
      <c r="U74" s="196" t="str">
        <f>IFERROR(INDEX(Расходка[Наименование расходного материала],MATCH(Расходка[[#This Row],[№]],Поиск_расходки[Индекс4],0)),"")</f>
        <v/>
      </c>
      <c r="V74" s="196" t="str">
        <f>IFERROR(INDEX(Расходка[Наименование расходного материала],MATCH(Расходка[[#This Row],[№]],Поиск_расходки[Индекс5],0)),"")</f>
        <v/>
      </c>
      <c r="W74" s="196" t="str">
        <f>IFERROR(INDEX(Расходка[Наименование расходного материала],MATCH(Расходка[[#This Row],[№]],Поиск_расходки[Индекс6],0)),"")</f>
        <v/>
      </c>
      <c r="X74" s="196" t="str">
        <f>IFERROR(INDEX(Расходка[Наименование расходного материала],MATCH(Расходка[[#This Row],[№]],Поиск_расходки[Индекс7],0)),"")</f>
        <v/>
      </c>
      <c r="Y74" s="196" t="str">
        <f>IFERROR(INDEX(Расходка[Наименование расходного материала],MATCH(Расходка[[#This Row],[№]],Поиск_расходки[Индекс8],0)),"")</f>
        <v>Launcher 7F JL 4.0</v>
      </c>
      <c r="Z74" s="196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6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6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6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6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465</v>
      </c>
    </row>
    <row r="75" spans="1:33">
      <c r="A75">
        <v>74</v>
      </c>
      <c r="B75" t="s">
        <v>301</v>
      </c>
      <c r="C75" s="1" t="s">
        <v>332</v>
      </c>
      <c r="E75" s="195">
        <f>IF(ISNUMBER(SEARCH('Карта учёта'!$B$13,Расходка[[#This Row],[Наименование расходного материала]])),MAX($E$1:E74)+1,0)</f>
        <v>0</v>
      </c>
      <c r="F75" s="195">
        <f>IF(ISNUMBER(SEARCH('Карта учёта'!$B$14,Расходка[[#This Row],[Наименование расходного материала]])),MAX($F$1:F74)+1,0)</f>
        <v>0</v>
      </c>
      <c r="G75" s="195">
        <f>IF(ISNUMBER(SEARCH('Карта учёта'!$B$15,Расходка[[#This Row],[Наименование расходного материала]])),MAX($G$1:G74)+1,0)</f>
        <v>0</v>
      </c>
      <c r="H75" s="195">
        <f>IF(ISNUMBER(SEARCH('Карта учёта'!$B$16,Расходка[[#This Row],[Наименование расходного материала]])),MAX($H$1:H74)+1,0)</f>
        <v>0</v>
      </c>
      <c r="I75" s="195">
        <f>IF(ISNUMBER(SEARCH('Карта учёта'!$B$17,Расходка[[#This Row],[Наименование расходного материала]])),MAX($I$1:I74)+1,0)</f>
        <v>0</v>
      </c>
      <c r="J75" s="195">
        <f>IF(ISNUMBER(SEARCH('Карта учёта'!$B$18,Расходка[[#This Row],[Наименование расходного материала]])),MAX($J$1:J74)+1,0)</f>
        <v>0</v>
      </c>
      <c r="K75" s="195">
        <f>IF(ISNUMBER(SEARCH('Карта учёта'!$B$19,Расходка[[#This Row],[Наименование расходного материала]])),MAX($K$1:K74)+1,0)</f>
        <v>0</v>
      </c>
      <c r="L75" s="195">
        <f>IF(ISNUMBER(SEARCH('Карта учёта'!$B$20,Расходка[[#This Row],[Наименование расходного материала]])),MAX($L$1:L74)+1,0)</f>
        <v>74</v>
      </c>
      <c r="M75" s="195">
        <f>IF(ISNUMBER(SEARCH('Карта учёта'!$B$21,Расходка[[#This Row],[Наименование расходного материала]])),MAX($M$1:M74)+1,0)</f>
        <v>74</v>
      </c>
      <c r="N75" s="195">
        <f>IF(ISNUMBER(SEARCH('Карта учёта'!$B$22,Расходка[[#This Row],[Наименование расходного материала]])),MAX($N$1:N74)+1,0)</f>
        <v>74</v>
      </c>
      <c r="O75" s="195">
        <f>IF(ISNUMBER(SEARCH('Карта учёта'!$B$23,Расходка[[#This Row],[Наименование расходного материала]])),MAX($O$1:O74)+1,0)</f>
        <v>74</v>
      </c>
      <c r="P75" s="195">
        <f>IF(ISNUMBER(SEARCH('Карта учёта'!$B$24,Расходка[[#This Row],[Наименование расходного материала]])),MAX($P$1:P74)+1,0)</f>
        <v>74</v>
      </c>
      <c r="Q75" s="195">
        <f>IF(ISNUMBER(SEARCH('Карта учёта'!$B$25,Расходка[[#This Row],[Наименование расходного материала]])),MAX($Q$1:Q74)+1,0)</f>
        <v>74</v>
      </c>
      <c r="R75" s="196" t="str">
        <f>IFERROR(INDEX(Расходка[Наименование расходного материала],MATCH(Расходка[[#This Row],[№]],Поиск_расходки[Индекс1],0)),"")</f>
        <v/>
      </c>
      <c r="S75" s="196" t="str">
        <f>IFERROR(INDEX(Расходка[Наименование расходного материала],MATCH(Расходка[[#This Row],[№]],Поиск_расходки[Индекс2],0)),"")</f>
        <v/>
      </c>
      <c r="T75" s="196" t="str">
        <f>IFERROR(INDEX(Расходка[Наименование расходного материала],MATCH(Расходка[[#This Row],[№]],Поиск_расходки[Индекс3],0)),"")</f>
        <v/>
      </c>
      <c r="U75" s="196" t="str">
        <f>IFERROR(INDEX(Расходка[Наименование расходного материала],MATCH(Расходка[[#This Row],[№]],Поиск_расходки[Индекс4],0)),"")</f>
        <v/>
      </c>
      <c r="V75" s="196" t="str">
        <f>IFERROR(INDEX(Расходка[Наименование расходного материала],MATCH(Расходка[[#This Row],[№]],Поиск_расходки[Индекс5],0)),"")</f>
        <v/>
      </c>
      <c r="W75" s="196" t="str">
        <f>IFERROR(INDEX(Расходка[Наименование расходного материала],MATCH(Расходка[[#This Row],[№]],Поиск_расходки[Индекс6],0)),"")</f>
        <v/>
      </c>
      <c r="X75" s="196" t="str">
        <f>IFERROR(INDEX(Расходка[Наименование расходного материала],MATCH(Расходка[[#This Row],[№]],Поиск_расходки[Индекс7],0)),"")</f>
        <v/>
      </c>
      <c r="Y75" s="196" t="str">
        <f>IFERROR(INDEX(Расходка[Наименование расходного материала],MATCH(Расходка[[#This Row],[№]],Поиск_расходки[Индекс8],0)),"")</f>
        <v>Angio-Seal™ VIP</v>
      </c>
      <c r="Z75" s="196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6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6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6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6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466</v>
      </c>
    </row>
    <row r="76" spans="1:33">
      <c r="E76" s="195">
        <f>IF(ISNUMBER(SEARCH('Карта учёта'!$B$13,Расходка[[#This Row],[Наименование расходного материала]])),MAX($E$1:E75)+1,0)</f>
        <v>0</v>
      </c>
      <c r="F76" s="195">
        <f>IF(ISNUMBER(SEARCH('Карта учёта'!$B$14,Расходка[[#This Row],[Наименование расходного материала]])),MAX($F$1:F75)+1,0)</f>
        <v>0</v>
      </c>
      <c r="G76" s="195">
        <f>IF(ISNUMBER(SEARCH('Карта учёта'!$B$15,Расходка[[#This Row],[Наименование расходного материала]])),MAX($G$1:G75)+1,0)</f>
        <v>0</v>
      </c>
      <c r="H76" s="195">
        <f>IF(ISNUMBER(SEARCH('Карта учёта'!$B$16,Расходка[[#This Row],[Наименование расходного материала]])),MAX($H$1:H75)+1,0)</f>
        <v>0</v>
      </c>
      <c r="I76" s="195">
        <f>IF(ISNUMBER(SEARCH('Карта учёта'!$B$17,Расходка[[#This Row],[Наименование расходного материала]])),MAX($I$1:I75)+1,0)</f>
        <v>0</v>
      </c>
      <c r="J76" s="195">
        <f>IF(ISNUMBER(SEARCH('Карта учёта'!$B$18,Расходка[[#This Row],[Наименование расходного материала]])),MAX($J$1:J75)+1,0)</f>
        <v>0</v>
      </c>
      <c r="K76" s="195">
        <f>IF(ISNUMBER(SEARCH('Карта учёта'!$B$19,Расходка[[#This Row],[Наименование расходного материала]])),MAX($K$1:K75)+1,0)</f>
        <v>0</v>
      </c>
      <c r="L76" s="195">
        <f>IF(ISNUMBER(SEARCH('Карта учёта'!$B$20,Расходка[[#This Row],[Наименование расходного материала]])),MAX($L$1:L75)+1,0)</f>
        <v>0</v>
      </c>
      <c r="M76" s="195">
        <f>IF(ISNUMBER(SEARCH('Карта учёта'!$B$21,Расходка[[#This Row],[Наименование расходного материала]])),MAX($M$1:M75)+1,0)</f>
        <v>0</v>
      </c>
      <c r="N76" s="195">
        <f>IF(ISNUMBER(SEARCH('Карта учёта'!$B$22,Расходка[[#This Row],[Наименование расходного материала]])),MAX($N$1:N75)+1,0)</f>
        <v>0</v>
      </c>
      <c r="O76" s="195">
        <f>IF(ISNUMBER(SEARCH('Карта учёта'!$B$23,Расходка[[#This Row],[Наименование расходного материала]])),MAX($O$1:O75)+1,0)</f>
        <v>0</v>
      </c>
      <c r="P76" s="195">
        <f>IF(ISNUMBER(SEARCH('Карта учёта'!$B$24,Расходка[[#This Row],[Наименование расходного материала]])),MAX($P$1:P75)+1,0)</f>
        <v>0</v>
      </c>
      <c r="Q76" s="195">
        <f>IF(ISNUMBER(SEARCH('Карта учёта'!$B$25,Расходка[[#This Row],[Наименование расходного материала]])),MAX($Q$1:Q75)+1,0)</f>
        <v>0</v>
      </c>
      <c r="R76" s="196" t="str">
        <f>IFERROR(INDEX(Расходка[Наименование расходного материала],MATCH(Расходка[[#This Row],[№]],Поиск_расходки[Индекс1],0)),"")</f>
        <v/>
      </c>
      <c r="S76" s="196" t="str">
        <f>IFERROR(INDEX(Расходка[Наименование расходного материала],MATCH(Расходка[[#This Row],[№]],Поиск_расходки[Индекс2],0)),"")</f>
        <v/>
      </c>
      <c r="T76" s="196" t="str">
        <f>IFERROR(INDEX(Расходка[Наименование расходного материала],MATCH(Расходка[[#This Row],[№]],Поиск_расходки[Индекс3],0)),"")</f>
        <v/>
      </c>
      <c r="U76" s="196" t="str">
        <f>IFERROR(INDEX(Расходка[Наименование расходного материала],MATCH(Расходка[[#This Row],[№]],Поиск_расходки[Индекс4],0)),"")</f>
        <v/>
      </c>
      <c r="V76" s="196" t="str">
        <f>IFERROR(INDEX(Расходка[Наименование расходного материала],MATCH(Расходка[[#This Row],[№]],Поиск_расходки[Индекс5],0)),"")</f>
        <v/>
      </c>
      <c r="W76" s="196" t="str">
        <f>IFERROR(INDEX(Расходка[Наименование расходного материала],MATCH(Расходка[[#This Row],[№]],Поиск_расходки[Индекс6],0)),"")</f>
        <v/>
      </c>
      <c r="X76" s="196" t="str">
        <f>IFERROR(INDEX(Расходка[Наименование расходного материала],MATCH(Расходка[[#This Row],[№]],Поиск_расходки[Индекс7],0)),"")</f>
        <v/>
      </c>
      <c r="Y76" s="196" t="str">
        <f>IFERROR(INDEX(Расходка[Наименование расходного материала],MATCH(Расходка[[#This Row],[№]],Поиск_расходки[Индекс8],0)),"")</f>
        <v/>
      </c>
      <c r="Z76" s="196" t="str">
        <f>IFERROR(INDEX(Расходка[Наименование расходного материала],MATCH(Расходка[[#This Row],[№]],Поиск_расходки[Индекс9],0)),"")</f>
        <v/>
      </c>
      <c r="AA76" s="196" t="str">
        <f>IFERROR(INDEX(Расходка[Наименование расходного материала],MATCH(Расходка[[#This Row],[№]],Поиск_расходки[Индекс10],0)),"")</f>
        <v/>
      </c>
      <c r="AB76" s="196" t="str">
        <f>IFERROR(INDEX(Расходка[Наименование расходного материала],MATCH(Расходка[[#This Row],[№]],Поиск_расходки[Индекс11],0)),"")</f>
        <v/>
      </c>
      <c r="AC76" s="196" t="str">
        <f>IFERROR(INDEX(Расходка[Наименование расходного материала],MATCH(Расходка[[#This Row],[№]],Поиск_расходки[Индекс12],0)),"")</f>
        <v/>
      </c>
      <c r="AD76" s="196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467</v>
      </c>
    </row>
    <row r="77" spans="1:33">
      <c r="E77" s="195">
        <f>IF(ISNUMBER(SEARCH('Карта учёта'!$B$13,Расходка[[#This Row],[Наименование расходного материала]])),MAX($E$1:E76)+1,0)</f>
        <v>0</v>
      </c>
      <c r="F77" s="195">
        <f>IF(ISNUMBER(SEARCH('Карта учёта'!$B$14,Расходка[[#This Row],[Наименование расходного материала]])),MAX($F$1:F76)+1,0)</f>
        <v>0</v>
      </c>
      <c r="G77" s="195">
        <f>IF(ISNUMBER(SEARCH('Карта учёта'!$B$15,Расходка[[#This Row],[Наименование расходного материала]])),MAX($G$1:G76)+1,0)</f>
        <v>0</v>
      </c>
      <c r="H77" s="195">
        <f>IF(ISNUMBER(SEARCH('Карта учёта'!$B$16,Расходка[[#This Row],[Наименование расходного материала]])),MAX($H$1:H76)+1,0)</f>
        <v>0</v>
      </c>
      <c r="I77" s="195">
        <f>IF(ISNUMBER(SEARCH('Карта учёта'!$B$17,Расходка[[#This Row],[Наименование расходного материала]])),MAX($I$1:I76)+1,0)</f>
        <v>0</v>
      </c>
      <c r="J77" s="195">
        <f>IF(ISNUMBER(SEARCH('Карта учёта'!$B$18,Расходка[[#This Row],[Наименование расходного материала]])),MAX($J$1:J76)+1,0)</f>
        <v>0</v>
      </c>
      <c r="K77" s="195">
        <f>IF(ISNUMBER(SEARCH('Карта учёта'!$B$19,Расходка[[#This Row],[Наименование расходного материала]])),MAX($K$1:K76)+1,0)</f>
        <v>0</v>
      </c>
      <c r="L77" s="195">
        <f>IF(ISNUMBER(SEARCH('Карта учёта'!$B$20,Расходка[[#This Row],[Наименование расходного материала]])),MAX($L$1:L76)+1,0)</f>
        <v>0</v>
      </c>
      <c r="M77" s="195">
        <f>IF(ISNUMBER(SEARCH('Карта учёта'!$B$21,Расходка[[#This Row],[Наименование расходного материала]])),MAX($M$1:M76)+1,0)</f>
        <v>0</v>
      </c>
      <c r="N77" s="195">
        <f>IF(ISNUMBER(SEARCH('Карта учёта'!$B$22,Расходка[[#This Row],[Наименование расходного материала]])),MAX($N$1:N76)+1,0)</f>
        <v>0</v>
      </c>
      <c r="O77" s="195">
        <f>IF(ISNUMBER(SEARCH('Карта учёта'!$B$23,Расходка[[#This Row],[Наименование расходного материала]])),MAX($O$1:O76)+1,0)</f>
        <v>0</v>
      </c>
      <c r="P77" s="195">
        <f>IF(ISNUMBER(SEARCH('Карта учёта'!$B$24,Расходка[[#This Row],[Наименование расходного материала]])),MAX($P$1:P76)+1,0)</f>
        <v>0</v>
      </c>
      <c r="Q77" s="195">
        <f>IF(ISNUMBER(SEARCH('Карта учёта'!$B$25,Расходка[[#This Row],[Наименование расходного материала]])),MAX($Q$1:Q76)+1,0)</f>
        <v>0</v>
      </c>
      <c r="R77" s="196" t="str">
        <f>IFERROR(INDEX(Расходка[Наименование расходного материала],MATCH(Расходка[[#This Row],[№]],Поиск_расходки[Индекс1],0)),"")</f>
        <v/>
      </c>
      <c r="S77" s="196" t="str">
        <f>IFERROR(INDEX(Расходка[Наименование расходного материала],MATCH(Расходка[[#This Row],[№]],Поиск_расходки[Индекс2],0)),"")</f>
        <v/>
      </c>
      <c r="T77" s="196" t="str">
        <f>IFERROR(INDEX(Расходка[Наименование расходного материала],MATCH(Расходка[[#This Row],[№]],Поиск_расходки[Индекс3],0)),"")</f>
        <v/>
      </c>
      <c r="U77" s="196" t="str">
        <f>IFERROR(INDEX(Расходка[Наименование расходного материала],MATCH(Расходка[[#This Row],[№]],Поиск_расходки[Индекс4],0)),"")</f>
        <v/>
      </c>
      <c r="V77" s="196" t="str">
        <f>IFERROR(INDEX(Расходка[Наименование расходного материала],MATCH(Расходка[[#This Row],[№]],Поиск_расходки[Индекс5],0)),"")</f>
        <v/>
      </c>
      <c r="W77" s="196" t="str">
        <f>IFERROR(INDEX(Расходка[Наименование расходного материала],MATCH(Расходка[[#This Row],[№]],Поиск_расходки[Индекс6],0)),"")</f>
        <v/>
      </c>
      <c r="X77" s="196" t="str">
        <f>IFERROR(INDEX(Расходка[Наименование расходного материала],MATCH(Расходка[[#This Row],[№]],Поиск_расходки[Индекс7],0)),"")</f>
        <v/>
      </c>
      <c r="Y77" s="196" t="str">
        <f>IFERROR(INDEX(Расходка[Наименование расходного материала],MATCH(Расходка[[#This Row],[№]],Поиск_расходки[Индекс8],0)),"")</f>
        <v/>
      </c>
      <c r="Z77" s="196" t="str">
        <f>IFERROR(INDEX(Расходка[Наименование расходного материала],MATCH(Расходка[[#This Row],[№]],Поиск_расходки[Индекс9],0)),"")</f>
        <v/>
      </c>
      <c r="AA77" s="196" t="str">
        <f>IFERROR(INDEX(Расходка[Наименование расходного материала],MATCH(Расходка[[#This Row],[№]],Поиск_расходки[Индекс10],0)),"")</f>
        <v/>
      </c>
      <c r="AB77" s="196" t="str">
        <f>IFERROR(INDEX(Расходка[Наименование расходного материала],MATCH(Расходка[[#This Row],[№]],Поиск_расходки[Индекс11],0)),"")</f>
        <v/>
      </c>
      <c r="AC77" s="196" t="str">
        <f>IFERROR(INDEX(Расходка[Наименование расходного материала],MATCH(Расходка[[#This Row],[№]],Поиск_расходки[Индекс12],0)),"")</f>
        <v/>
      </c>
      <c r="AD77" s="196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468</v>
      </c>
    </row>
    <row r="78" spans="1:33">
      <c r="E78" s="195">
        <f>IF(ISNUMBER(SEARCH('Карта учёта'!$B$13,Расходка[[#This Row],[Наименование расходного материала]])),MAX($E$1:E77)+1,0)</f>
        <v>0</v>
      </c>
      <c r="F78" s="195">
        <f>IF(ISNUMBER(SEARCH('Карта учёта'!$B$14,Расходка[[#This Row],[Наименование расходного материала]])),MAX($F$1:F77)+1,0)</f>
        <v>0</v>
      </c>
      <c r="G78" s="195">
        <f>IF(ISNUMBER(SEARCH('Карта учёта'!$B$15,Расходка[[#This Row],[Наименование расходного материала]])),MAX($G$1:G77)+1,0)</f>
        <v>0</v>
      </c>
      <c r="H78" s="195">
        <f>IF(ISNUMBER(SEARCH('Карта учёта'!$B$16,Расходка[[#This Row],[Наименование расходного материала]])),MAX($H$1:H77)+1,0)</f>
        <v>0</v>
      </c>
      <c r="I78" s="195">
        <f>IF(ISNUMBER(SEARCH('Карта учёта'!$B$17,Расходка[[#This Row],[Наименование расходного материала]])),MAX($I$1:I77)+1,0)</f>
        <v>0</v>
      </c>
      <c r="J78" s="195">
        <f>IF(ISNUMBER(SEARCH('Карта учёта'!$B$18,Расходка[[#This Row],[Наименование расходного материала]])),MAX($J$1:J77)+1,0)</f>
        <v>0</v>
      </c>
      <c r="K78" s="195">
        <f>IF(ISNUMBER(SEARCH('Карта учёта'!$B$19,Расходка[[#This Row],[Наименование расходного материала]])),MAX($K$1:K77)+1,0)</f>
        <v>0</v>
      </c>
      <c r="L78" s="195">
        <f>IF(ISNUMBER(SEARCH('Карта учёта'!$B$20,Расходка[[#This Row],[Наименование расходного материала]])),MAX($L$1:L77)+1,0)</f>
        <v>0</v>
      </c>
      <c r="M78" s="195">
        <f>IF(ISNUMBER(SEARCH('Карта учёта'!$B$21,Расходка[[#This Row],[Наименование расходного материала]])),MAX($M$1:M77)+1,0)</f>
        <v>0</v>
      </c>
      <c r="N78" s="195">
        <f>IF(ISNUMBER(SEARCH('Карта учёта'!$B$22,Расходка[[#This Row],[Наименование расходного материала]])),MAX($N$1:N77)+1,0)</f>
        <v>0</v>
      </c>
      <c r="O78" s="195">
        <f>IF(ISNUMBER(SEARCH('Карта учёта'!$B$23,Расходка[[#This Row],[Наименование расходного материала]])),MAX($O$1:O77)+1,0)</f>
        <v>0</v>
      </c>
      <c r="P78" s="195">
        <f>IF(ISNUMBER(SEARCH('Карта учёта'!$B$24,Расходка[[#This Row],[Наименование расходного материала]])),MAX($P$1:P77)+1,0)</f>
        <v>0</v>
      </c>
      <c r="Q78" s="195">
        <f>IF(ISNUMBER(SEARCH('Карта учёта'!$B$25,Расходка[[#This Row],[Наименование расходного материала]])),MAX($Q$1:Q77)+1,0)</f>
        <v>0</v>
      </c>
      <c r="R78" s="196" t="str">
        <f>IFERROR(INDEX(Расходка[Наименование расходного материала],MATCH(Расходка[[#This Row],[№]],Поиск_расходки[Индекс1],0)),"")</f>
        <v/>
      </c>
      <c r="S78" s="196" t="str">
        <f>IFERROR(INDEX(Расходка[Наименование расходного материала],MATCH(Расходка[[#This Row],[№]],Поиск_расходки[Индекс2],0)),"")</f>
        <v/>
      </c>
      <c r="T78" s="196" t="str">
        <f>IFERROR(INDEX(Расходка[Наименование расходного материала],MATCH(Расходка[[#This Row],[№]],Поиск_расходки[Индекс3],0)),"")</f>
        <v/>
      </c>
      <c r="U78" s="196" t="str">
        <f>IFERROR(INDEX(Расходка[Наименование расходного материала],MATCH(Расходка[[#This Row],[№]],Поиск_расходки[Индекс4],0)),"")</f>
        <v/>
      </c>
      <c r="V78" s="196" t="str">
        <f>IFERROR(INDEX(Расходка[Наименование расходного материала],MATCH(Расходка[[#This Row],[№]],Поиск_расходки[Индекс5],0)),"")</f>
        <v/>
      </c>
      <c r="W78" s="196" t="str">
        <f>IFERROR(INDEX(Расходка[Наименование расходного материала],MATCH(Расходка[[#This Row],[№]],Поиск_расходки[Индекс6],0)),"")</f>
        <v/>
      </c>
      <c r="X78" s="196" t="str">
        <f>IFERROR(INDEX(Расходка[Наименование расходного материала],MATCH(Расходка[[#This Row],[№]],Поиск_расходки[Индекс7],0)),"")</f>
        <v/>
      </c>
      <c r="Y78" s="196" t="str">
        <f>IFERROR(INDEX(Расходка[Наименование расходного материала],MATCH(Расходка[[#This Row],[№]],Поиск_расходки[Индекс8],0)),"")</f>
        <v/>
      </c>
      <c r="Z78" s="196" t="str">
        <f>IFERROR(INDEX(Расходка[Наименование расходного материала],MATCH(Расходка[[#This Row],[№]],Поиск_расходки[Индекс9],0)),"")</f>
        <v/>
      </c>
      <c r="AA78" s="196" t="str">
        <f>IFERROR(INDEX(Расходка[Наименование расходного материала],MATCH(Расходка[[#This Row],[№]],Поиск_расходки[Индекс10],0)),"")</f>
        <v/>
      </c>
      <c r="AB78" s="196" t="str">
        <f>IFERROR(INDEX(Расходка[Наименование расходного материала],MATCH(Расходка[[#This Row],[№]],Поиск_расходки[Индекс11],0)),"")</f>
        <v/>
      </c>
      <c r="AC78" s="196" t="str">
        <f>IFERROR(INDEX(Расходка[Наименование расходного материала],MATCH(Расходка[[#This Row],[№]],Поиск_расходки[Индекс12],0)),"")</f>
        <v/>
      </c>
      <c r="AD78" s="196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515</v>
      </c>
      <c r="C15" s="200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0"/>
    </row>
    <row r="20" spans="1:3">
      <c r="C20" s="200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506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9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2024-09-13T17:22:48Z</cp:lastPrinted>
  <dcterms:created xsi:type="dcterms:W3CDTF">2015-06-05T18:19:34Z</dcterms:created>
  <dcterms:modified xsi:type="dcterms:W3CDTF">2024-09-13T17:23:22Z</dcterms:modified>
</cp:coreProperties>
</file>