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9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6" i="1" l="1"/>
  <c r="E77" i="1"/>
  <c r="E78" i="1"/>
  <c r="F76" i="1"/>
  <c r="F77" i="1"/>
  <c r="F78" i="1"/>
  <c r="G77" i="1"/>
  <c r="G78" i="1"/>
  <c r="H77" i="1"/>
  <c r="H78" i="1"/>
  <c r="I77" i="1"/>
  <c r="I78" i="1"/>
  <c r="J77" i="1"/>
  <c r="J78" i="1"/>
  <c r="K77" i="1"/>
  <c r="K78" i="1"/>
  <c r="L77" i="1"/>
  <c r="L78" i="1"/>
  <c r="M77" i="1"/>
  <c r="M78" i="1"/>
  <c r="N77" i="1"/>
  <c r="N78" i="1"/>
  <c r="O77" i="1"/>
  <c r="O78" i="1"/>
  <c r="P77" i="1"/>
  <c r="P78" i="1"/>
  <c r="Q77" i="1"/>
  <c r="Q78" i="1"/>
  <c r="R77" i="1"/>
  <c r="R78" i="1"/>
  <c r="S77" i="1"/>
  <c r="S78" i="1"/>
  <c r="T77" i="1"/>
  <c r="T78" i="1"/>
  <c r="U77" i="1"/>
  <c r="U78" i="1"/>
  <c r="V77" i="1"/>
  <c r="V78" i="1"/>
  <c r="W77" i="1"/>
  <c r="W78" i="1"/>
  <c r="X77" i="1"/>
  <c r="X78" i="1"/>
  <c r="Y77" i="1"/>
  <c r="Y78" i="1"/>
  <c r="Z77" i="1"/>
  <c r="Z78" i="1"/>
  <c r="AA77" i="1"/>
  <c r="AA78" i="1"/>
  <c r="AB77" i="1"/>
  <c r="AB78" i="1"/>
  <c r="AC77" i="1"/>
  <c r="AC78" i="1"/>
  <c r="AD77" i="1"/>
  <c r="AD78" i="1"/>
  <c r="C16" i="9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Q7" i="1"/>
  <c r="J7" i="1"/>
  <c r="G8" i="1"/>
  <c r="N9" i="1"/>
  <c r="I7" i="1"/>
  <c r="F7" i="1"/>
  <c r="M7" i="1"/>
  <c r="H8" i="1"/>
  <c r="L9" i="1"/>
  <c r="K8" i="1"/>
  <c r="E9" i="1" l="1"/>
  <c r="E10" i="1" s="1"/>
  <c r="O9" i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E69" i="1" l="1"/>
  <c r="E70" i="1" s="1"/>
  <c r="E71" i="1" s="1"/>
  <c r="E72" i="1" s="1"/>
  <c r="E73" i="1" s="1"/>
  <c r="E74" i="1" s="1"/>
  <c r="E75" i="1" s="1"/>
  <c r="R76" i="1" s="1"/>
  <c r="O63" i="1"/>
  <c r="P2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R67" i="1" l="1"/>
  <c r="R59" i="1"/>
  <c r="R60" i="1"/>
  <c r="R71" i="1"/>
  <c r="R73" i="1"/>
  <c r="R61" i="1"/>
  <c r="R66" i="1"/>
  <c r="R58" i="1"/>
  <c r="R57" i="1"/>
  <c r="R70" i="1"/>
  <c r="R65" i="1"/>
  <c r="R68" i="1"/>
  <c r="R56" i="1"/>
  <c r="R63" i="1"/>
  <c r="R62" i="1"/>
  <c r="R69" i="1"/>
  <c r="R72" i="1"/>
  <c r="R64" i="1"/>
  <c r="R74" i="1"/>
  <c r="R75" i="1"/>
  <c r="O64" i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D75" i="1" l="1"/>
  <c r="Q76" i="1"/>
  <c r="AD76" i="1" s="1"/>
  <c r="AB74" i="1"/>
  <c r="O75" i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AB75" i="1" l="1"/>
  <c r="O76" i="1"/>
  <c r="AB76" i="1" s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0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H76" i="1" l="1"/>
  <c r="U76" i="1" s="1"/>
  <c r="S56" i="1"/>
  <c r="S76" i="1"/>
  <c r="S13" i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S74" i="1"/>
  <c r="S60" i="1"/>
  <c r="S47" i="1"/>
  <c r="S41" i="1"/>
  <c r="S65" i="1"/>
  <c r="S72" i="1"/>
  <c r="S61" i="1"/>
  <c r="S71" i="1"/>
  <c r="S55" i="1"/>
  <c r="S66" i="1"/>
  <c r="S67" i="1"/>
  <c r="U65" i="1"/>
  <c r="U61" i="1"/>
  <c r="U44" i="1"/>
  <c r="U57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U47" i="1" l="1"/>
  <c r="U52" i="1"/>
  <c r="U41" i="1"/>
  <c r="U48" i="1"/>
  <c r="U63" i="1"/>
  <c r="U67" i="1"/>
  <c r="U72" i="1"/>
  <c r="U55" i="1"/>
  <c r="U40" i="1"/>
  <c r="U73" i="1"/>
  <c r="U42" i="1"/>
  <c r="U60" i="1"/>
  <c r="U68" i="1"/>
  <c r="U62" i="1"/>
  <c r="U53" i="1"/>
  <c r="U66" i="1"/>
  <c r="U64" i="1"/>
  <c r="U46" i="1"/>
  <c r="U56" i="1"/>
  <c r="U51" i="1"/>
  <c r="U59" i="1"/>
  <c r="U70" i="1"/>
  <c r="U69" i="1"/>
  <c r="U45" i="1"/>
  <c r="U54" i="1"/>
  <c r="U39" i="1"/>
  <c r="U58" i="1"/>
  <c r="U75" i="1"/>
  <c r="U74" i="1"/>
  <c r="U49" i="1"/>
  <c r="U50" i="1"/>
  <c r="U71" i="1"/>
  <c r="U43" i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V66" i="1" l="1"/>
  <c r="I76" i="1"/>
  <c r="V76" i="1" s="1"/>
  <c r="W54" i="1"/>
  <c r="J76" i="1"/>
  <c r="W74" i="1"/>
  <c r="V50" i="1"/>
  <c r="V40" i="1"/>
  <c r="V71" i="1"/>
  <c r="V58" i="1"/>
  <c r="V68" i="1"/>
  <c r="V70" i="1"/>
  <c r="W51" i="1"/>
  <c r="W65" i="1"/>
  <c r="W72" i="1"/>
  <c r="W73" i="1"/>
  <c r="W68" i="1"/>
  <c r="W57" i="1"/>
  <c r="V57" i="1"/>
  <c r="V47" i="1"/>
  <c r="V49" i="1"/>
  <c r="V54" i="1"/>
  <c r="V43" i="1"/>
  <c r="V45" i="1"/>
  <c r="W75" i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W76" i="1" l="1"/>
  <c r="W42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X2" i="1" l="1"/>
  <c r="K76" i="1"/>
  <c r="X10" i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M56" i="1"/>
  <c r="M57" i="1" s="1"/>
  <c r="L54" i="1"/>
  <c r="X4" i="1" l="1"/>
  <c r="X6" i="1"/>
  <c r="X76" i="1"/>
  <c r="X9" i="1"/>
  <c r="X54" i="1"/>
  <c r="X11" i="1"/>
  <c r="X23" i="1"/>
  <c r="X29" i="1"/>
  <c r="X71" i="1"/>
  <c r="X24" i="1"/>
  <c r="X37" i="1"/>
  <c r="X72" i="1"/>
  <c r="G66" i="1"/>
  <c r="G67" i="1" s="1"/>
  <c r="G68" i="1" s="1"/>
  <c r="G69" i="1" s="1"/>
  <c r="G70" i="1" s="1"/>
  <c r="G71" i="1" s="1"/>
  <c r="G72" i="1" s="1"/>
  <c r="AC45" i="1"/>
  <c r="AC44" i="1"/>
  <c r="AA2" i="1"/>
  <c r="AC54" i="1"/>
  <c r="AC52" i="1"/>
  <c r="AC68" i="1"/>
  <c r="P69" i="1"/>
  <c r="P70" i="1" s="1"/>
  <c r="P71" i="1" s="1"/>
  <c r="P72" i="1" s="1"/>
  <c r="P73" i="1" s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AC73" i="1"/>
  <c r="P74" i="1"/>
  <c r="N72" i="1"/>
  <c r="N73" i="1" s="1"/>
  <c r="L67" i="1"/>
  <c r="M61" i="1"/>
  <c r="G75" i="1" l="1"/>
  <c r="AC51" i="1"/>
  <c r="P75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T3" i="1" l="1"/>
  <c r="AC75" i="1"/>
  <c r="P76" i="1"/>
  <c r="AC76" i="1" s="1"/>
  <c r="G76" i="1"/>
  <c r="T74" i="1" s="1"/>
  <c r="T2" i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T75" i="1" l="1"/>
  <c r="T4" i="1"/>
  <c r="T73" i="1"/>
  <c r="T34" i="1"/>
  <c r="T58" i="1"/>
  <c r="T47" i="1"/>
  <c r="T49" i="1"/>
  <c r="T17" i="1"/>
  <c r="T44" i="1"/>
  <c r="T48" i="1"/>
  <c r="T46" i="1"/>
  <c r="T65" i="1"/>
  <c r="T24" i="1"/>
  <c r="T36" i="1"/>
  <c r="T51" i="1"/>
  <c r="T60" i="1"/>
  <c r="T8" i="1"/>
  <c r="T13" i="1"/>
  <c r="T7" i="1"/>
  <c r="T37" i="1"/>
  <c r="T23" i="1"/>
  <c r="T59" i="1"/>
  <c r="T70" i="1"/>
  <c r="T22" i="1"/>
  <c r="T31" i="1"/>
  <c r="T55" i="1"/>
  <c r="T61" i="1"/>
  <c r="T16" i="1"/>
  <c r="T25" i="1"/>
  <c r="T32" i="1"/>
  <c r="T42" i="1"/>
  <c r="T62" i="1"/>
  <c r="T71" i="1"/>
  <c r="T40" i="1"/>
  <c r="T64" i="1"/>
  <c r="T66" i="1"/>
  <c r="T50" i="1"/>
  <c r="T33" i="1"/>
  <c r="T68" i="1"/>
  <c r="T9" i="1"/>
  <c r="T15" i="1"/>
  <c r="T67" i="1"/>
  <c r="T57" i="1"/>
  <c r="T43" i="1"/>
  <c r="T20" i="1"/>
  <c r="T39" i="1"/>
  <c r="T72" i="1"/>
  <c r="T10" i="1"/>
  <c r="T11" i="1"/>
  <c r="T35" i="1"/>
  <c r="T28" i="1"/>
  <c r="T27" i="1"/>
  <c r="T52" i="1"/>
  <c r="T14" i="1"/>
  <c r="T29" i="1"/>
  <c r="T56" i="1"/>
  <c r="T12" i="1"/>
  <c r="T30" i="1"/>
  <c r="T26" i="1"/>
  <c r="T63" i="1"/>
  <c r="T54" i="1"/>
  <c r="T45" i="1"/>
  <c r="T19" i="1"/>
  <c r="T18" i="1"/>
  <c r="T38" i="1"/>
  <c r="T69" i="1"/>
  <c r="T21" i="1"/>
  <c r="T41" i="1"/>
  <c r="T5" i="1"/>
  <c r="T6" i="1"/>
  <c r="T76" i="1"/>
  <c r="T53" i="1"/>
  <c r="AC53" i="1"/>
  <c r="AA75" i="1"/>
  <c r="N76" i="1"/>
  <c r="L70" i="1"/>
  <c r="M67" i="1"/>
  <c r="AA76" i="1" l="1"/>
  <c r="AA53" i="1"/>
  <c r="L71" i="1"/>
  <c r="M68" i="1"/>
  <c r="L72" i="1" l="1"/>
  <c r="L73" i="1" s="1"/>
  <c r="M69" i="1"/>
  <c r="L74" i="1" l="1"/>
  <c r="L75" i="1" s="1"/>
  <c r="L76" i="1" s="1"/>
  <c r="Y76" i="1" s="1"/>
  <c r="Y2" i="1"/>
  <c r="Y69" i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75" i="1" l="1"/>
  <c r="M71" i="1"/>
  <c r="M72" i="1" l="1"/>
  <c r="M73" i="1" l="1"/>
  <c r="M74" i="1" l="1"/>
  <c r="M75" i="1" s="1"/>
  <c r="Z75" i="1" l="1"/>
  <c r="M76" i="1"/>
  <c r="Z76" i="1" s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<sst xmlns="http://schemas.openxmlformats.org/spreadsheetml/2006/main" count="889" uniqueCount="537">
  <si>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</si>
  <si>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</si>
  <si>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</si>
  <si>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</si>
  <si>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</si>
  <si>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</si>
  <si>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</si>
  <si>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</si>
  <si>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</si>
  <si>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</si>
  <si>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</si>
  <si>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</si>
  <si>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</si>
  <si>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</si>
  <si>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</si>
  <si>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</si>
  <si>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</si>
  <si>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</si>
  <si>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</si>
  <si>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</si>
  <si>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</si>
  <si>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</si>
  <si>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</si>
  <si>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</si>
  <si>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</si>
  <si>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</si>
  <si>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</si>
  <si>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</si>
  <si>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</si>
  <si>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</si>
  <si>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</si>
  <si>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</si>
  <si>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</si>
  <si>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</si>
  <si>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</si>
  <si>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</si>
  <si>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</si>
  <si>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</si>
  <si>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</si>
  <si>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</si>
  <si>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</si>
  <si>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</si>
  <si>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</si>
  <si>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</si>
  <si>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</si>
  <si>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</si>
  <si>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</si>
  <si>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</si>
  <si>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</si>
  <si>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</si>
  <si>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</si>
  <si>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</si>
  <si>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</si>
  <si>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</si>
  <si>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</si>
  <si>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</si>
  <si>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</si>
  <si>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</si>
  <si>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</si>
  <si>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</si>
  <si>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</si>
  <si>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</si>
  <si>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</si>
  <si>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</si>
  <si>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</si>
  <si>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</si>
  <si>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</si>
  <si>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</si>
  <si>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</si>
  <si>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</si>
  <si>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</si>
  <si>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</si>
  <si>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</si>
  <si>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</si>
  <si>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</si>
  <si>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</si>
  <si>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</si>
  <si>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</si>
  <si>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</si>
  <si>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</si>
  <si>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</si>
  <si>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</si>
  <si>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</si>
  <si>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</si>
  <si>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</si>
  <si>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</si>
  <si>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</si>
  <si>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</si>
  <si>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</si>
  <si>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</si>
  <si>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</si>
  <si>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</si>
  <si>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</si>
  <si>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</si>
  <si>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</si>
  <si>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</si>
  <si>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</si>
  <si>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</si>
  <si>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</si>
  <si>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</si>
  <si>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</si>
  <si>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</si>
  <si>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</si>
  <si>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</si>
  <si>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</si>
  <si>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</si>
  <si>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</si>
  <si>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</si>
  <si>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</si>
  <si>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</si>
  <si>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</si>
  <si>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</si>
  <si>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</si>
  <si>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</si>
  <si>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</si>
  <si>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</si>
  <si>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</si>
  <si>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</si>
  <si>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</si>
  <si>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</si>
  <si>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</si>
  <si>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</si>
  <si>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</si>
  <si>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</si>
  <si>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</si>
  <si>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</si>
  <si>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</si>
  <si>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</si>
  <si>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</si>
  <si>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</si>
  <si>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</si>
  <si>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</si>
  <si>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</si>
  <si>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</si>
  <si>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</si>
  <si>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</si>
  <si>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</si>
  <si>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</si>
  <si>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</si>
  <si>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</si>
  <si>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</si>
  <si>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</si>
  <si>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</si>
  <si>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</si>
  <si>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</si>
  <si>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</si>
  <si>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</si>
  <si>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</si>
  <si>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</si>
  <si>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</si>
  <si>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</si>
  <si>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</si>
  <si>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</si>
  <si>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</si>
  <si>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</si>
  <si>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</si>
  <si>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</si>
  <si>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</si>
  <si>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</si>
  <si>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</si>
  <si>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</si>
  <si>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</si>
  <si>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</si>
  <si>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</si>
  <si>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</si>
  <si>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</si>
  <si>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</si>
  <si>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</si>
  <si>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</si>
  <si>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</si>
  <si>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</si>
  <si>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</si>
  <si>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</si>
  <si>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</si>
  <si>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</si>
  <si>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</si>
  <si>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</si>
  <si>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</si>
  <si>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</si>
  <si>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</si>
  <si>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</si>
  <si>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</si>
  <si>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</si>
  <si>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</si>
  <si>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</si>
  <si>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</si>
  <si>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</si>
  <si>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</si>
  <si>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</si>
  <si>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</si>
  <si>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</si>
  <si>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</si>
  <si>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</si>
  <si>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</si>
  <si>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</si>
  <si>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</si>
  <si>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</si>
  <si>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</si>
  <si>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</si>
  <si>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</si>
  <si>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</si>
  <si>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</si>
  <si>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</si>
  <si>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</si>
  <si>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</si>
  <si>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</si>
  <si>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</si>
  <si>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</si>
  <si>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</si>
  <si>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</si>
  <si>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</si>
  <si>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</si>
  <si>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</si>
  <si>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</si>
  <si>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</si>
  <si>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</si>
  <si>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</si>
  <si>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</si>
  <si>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</si>
  <si>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</si>
  <si>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</si>
  <si>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</si>
  <si>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</si>
  <si>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</si>
  <si>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</si>
  <si>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</si>
  <si>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</si>
  <si>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</si>
  <si>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</si>
  <si>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</si>
  <si>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</si>
  <si>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</si>
  <si>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</si>
  <si>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</si>
  <si>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</si>
  <si>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</si>
  <si>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</si>
  <si>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</si>
  <si>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</si>
  <si>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</si>
  <si>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</si>
  <si>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</si>
  <si>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</si>
  <si>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</si>
  <si>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</si>
  <si>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</si>
  <si>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</si>
  <si>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</si>
  <si>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</si>
  <si>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</si>
  <si>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</si>
  <si>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</si>
  <si>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</si>
  <si>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</si>
  <si>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</si>
  <si>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</si>
  <si>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</si>
  <si>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</si>
  <si>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</si>
  <si>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</si>
  <si>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</si>
  <si>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</si>
  <si>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</si>
  <si>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</si>
  <si>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</si>
  <si>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</si>
  <si>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</si>
  <si>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</si>
  <si>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</si>
  <si>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</si>
  <si>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</si>
  <si>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</si>
  <si>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</si>
  <si>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</si>
  <si>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</si>
  <si>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</si>
  <si>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</si>
  <si>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</si>
  <si>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</si>
  <si>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</si>
  <si>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</si>
  <si>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</si>
  <si>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</si>
  <si>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</si>
  <si>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</si>
  <si>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</si>
  <si>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</si>
  <si>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</si>
  <si>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</si>
  <si>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</si>
  <si>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</si>
  <si>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</si>
  <si>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</si>
  <si>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</si>
  <si>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</si>
  <si>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</si>
  <si>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</si>
  <si>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</si>
  <si>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</si>
  <si>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</si>
  <si>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</si>
  <si>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</si>
  <si>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</si>
  <si>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</si>
  <si>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</si>
  <si>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</si>
  <si>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</si>
  <si>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</si>
  <si>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</si>
  <si>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</si>
  <si>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</si>
  <si>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</si>
  <si>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</si>
  <si>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</si>
  <si>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</si>
  <si>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</si>
  <si>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</si>
  <si>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</si>
  <si>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</si>
  <si>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</si>
  <si>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</si>
  <si>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</si>
  <si>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</si>
  <si>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</si>
  <si>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</si>
  <si>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</si>
  <si>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</si>
  <si>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</si>
  <si>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</si>
  <si>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</si>
  <si>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</si>
  <si>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</si>
  <si>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</si>
  <si>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</si>
  <si>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</si>
  <si>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</si>
  <si>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</si>
  <si>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</si>
  <si>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</si>
  <si>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</si>
  <si>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</si>
  <si>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</si>
  <si>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</si>
  <si>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</si>
  <si>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</si>
  <si>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</si>
  <si>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</si>
  <si>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</si>
  <si>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</si>
  <si>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</si>
  <si>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</si>
  <si>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</si>
  <si>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</si>
  <si>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</si>
  <si>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</si>
  <si>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</si>
  <si>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</si>
  <si>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</si>
  <si>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</si>
  <si>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</si>
  <si>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</si>
  <si>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</si>
  <si>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</si>
  <si>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</si>
  <si>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</si>
  <si>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</si>
  <si>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</si>
  <si>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</si>
  <si>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</si>
  <si>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</si>
  <si>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</si>
  <si>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</si>
  <si>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</si>
  <si>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</si>
  <si>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</si>
  <si>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</si>
  <si>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</si>
  <si>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</si>
  <si>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</si>
  <si>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</si>
  <si>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</si>
  <si>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</si>
  <si>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</si>
  <si>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</si>
  <si>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</si>
  <si>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</si>
  <si>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</si>
  <si>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</si>
  <si>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</si>
  <si>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</si>
  <si>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</si>
  <si>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</si>
  <si>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</si>
  <si>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</si>
  <si>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</si>
  <si>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</si>
  <si>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</si>
  <si>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</si>
  <si>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</si>
  <si>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</si>
  <si>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</si>
  <si>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</si>
  <si>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</si>
  <si>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</si>
  <si>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</si>
  <si>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</si>
  <si>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</si>
  <si>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</si>
  <si>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</si>
  <si>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</si>
  <si>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</si>
  <si>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</si>
  <si>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</si>
  <si>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</si>
  <si>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</si>
  <si>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</si>
  <si>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</si>
  <si>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</si>
  <si>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</si>
  <si>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</si>
  <si>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</si>
  <si>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</si>
  <si>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</si>
  <si>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</si>
  <si>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</si>
  <si>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</si>
  <si>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</si>
  <si>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</si>
  <si>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</si>
  <si>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</si>
  <si>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</si>
  <si>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</si>
  <si>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</si>
  <si>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</si>
  <si>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</si>
  <si>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</si>
  <si>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</si>
  <si>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</si>
  <si>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</si>
  <si>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</si>
  <si>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</si>
  <si>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</si>
  <si>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</si>
  <si>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</si>
  <si>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</si>
  <si>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</si>
  <si>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</si>
  <si>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</si>
  <si>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</si>
  <si>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</si>
  <si>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</si>
  <si>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</si>
  <si>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</si>
  <si>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</si>
  <si>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</si>
  <si>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</si>
  <si>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</si>
  <si>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</si>
  <si>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</si>
  <si>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</si>
  <si>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</si>
  <si>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</si>
  <si>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</si>
  <si>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</si>
  <si>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</si>
  <si>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</si>
  <si>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</si>
  <si>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</si>
  <si>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</si>
  <si>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</si>
  <si>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</si>
  <si>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</si>
  <si>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</si>
  <si>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</si>
  <si>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</si>
  <si>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</si>
  <si>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</si>
  <si>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</si>
  <si>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</si>
  <si>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</si>
  <si>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</si>
  <si>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</si>
  <si>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</si>
  <si>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</si>
  <si>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</si>
  <si>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</si>
  <si>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</si>
  <si>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</si>
  <si>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</si>
  <si>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</si>
  <si>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</si>
  <si>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</si>
  <si>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</si>
  <si>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</si>
  <si>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</si>
  <si>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</si>
  <si>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</si>
  <si>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</si>
  <si>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</si>
  <si>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</si>
  <si>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</si>
  <si>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</si>
  <si>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</si>
  <si>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</si>
  <si>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</si>
  <si>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</si>
  <si>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</si>
  <si>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</si>
  <si>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</si>
  <si>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</si>
  <si>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</si>
  <si>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</si>
  <si>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</si>
  <si>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</si>
  <si>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</si>
  <si>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</si>
  <si>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</si>
  <si>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</si>
  <si>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</si>
  <si>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</si>
  <si>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</si>
  <si>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</si>
  <si>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лучевой</t>
  </si>
  <si>
    <t>походим, контуры ровные</t>
  </si>
  <si>
    <t>50 ml</t>
  </si>
  <si>
    <t>Правый</t>
  </si>
  <si>
    <t>Совместно с д/кардиологом: с учетом клинических данных, ЭКГ и КАГ рекомендована экстренная реканализация ПНА</t>
  </si>
  <si>
    <t>1) Контроль места пункции, повязка  на руке до 6 ч.</t>
  </si>
  <si>
    <t>19:34</t>
  </si>
  <si>
    <t>Модэкин К.В.</t>
  </si>
  <si>
    <r>
      <rPr>
        <sz val="11"/>
        <color theme="1"/>
        <rFont val="Arial Narrow"/>
        <family val="2"/>
        <charset val="204"/>
      </rPr>
      <t xml:space="preserve">неровности контуров проксимального сегмента, стеноз среднего сегмента 30%.  Антеградный  кровоток  TIMI III. </t>
    </r>
    <r>
      <rPr>
        <b/>
        <i/>
        <sz val="10"/>
        <color theme="1"/>
        <rFont val="Arial Narrow"/>
        <family val="2"/>
        <charset val="204"/>
      </rPr>
      <t/>
    </r>
  </si>
  <si>
    <t xml:space="preserve">неровности контуров проксимального сегмента ОА, неровности контуров прокс/3 крупной ВТК. Стеноз среднего сегмента ОА в зоне бифуркации с ВТК (medina 0,1,0) - 40%.  Антеградный  кровоток TIMI III. </t>
  </si>
  <si>
    <t xml:space="preserve">неровности контуров проксимального сегмента, на границе проксимального и среднего сегментов тотальная окклюзия ПНА, стеноз устья ДВ 70%.  Антеградный  кровоток по ПНА и ДВ TIMI 0. Слабые внутрисистемные коллатерали в дистальный сегмент ПНА. </t>
  </si>
  <si>
    <r>
      <t>Катетеризация устья ствола ЛКА  проводниковым катетером Launcher EBU 3.5 6Fr</t>
    </r>
    <r>
      <rPr>
        <u/>
        <sz val="10.5"/>
        <color theme="1"/>
        <rFont val="Calibri"/>
        <family val="2"/>
        <charset val="204"/>
        <scheme val="minor"/>
      </rPr>
      <t>.</t>
    </r>
    <r>
      <rPr>
        <sz val="10.5"/>
        <color theme="1"/>
        <rFont val="Calibri"/>
        <family val="2"/>
        <charset val="204"/>
        <scheme val="minor"/>
      </rPr>
      <t xml:space="preserve"> Коронарный проводник pilot 50 300 см проведён в дистальный сегмент ПНА, fielder - в дистальный сегмент ДВ.  Выполнена реканализация ПНА БК  Колибри 2.0-15. В зону среднего сегмента  с частичным покрытием проксимального сегмента и полным покрытием  нестабильного остаточного стеноза ПНА имплантирован  DES Resolute Integrity 3,5-30 мм, давлением 12 атм. Рекроссинг проводников. Последовательная дилатация устья ДВ и ячейки стента БК Колибри 1.5-15 и 2.0-15, давлением 14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ПНА и ДВ - TIMI III, резидуальный стеноз устья ДВ до 30%.   Ангиографический результат удовлетворительный. Пациент в стабильном состоянии транспортируется в ПРИТ для дальнейшего наблюдения и лечения.</t>
    </r>
  </si>
  <si>
    <t>30 ml</t>
  </si>
  <si>
    <t>200 ml</t>
  </si>
  <si>
    <t>Pilot 50_300 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</si>
</sst>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sz val="10"/>
      <color theme="1"/>
      <name val="Arial Narrow"/>
      <family val="2"/>
      <charset val="204"/>
    </font>
    <font>
      <b/>
      <i/>
      <sz val="10"/>
      <color theme="1"/>
      <name val="Arial Narrow"/>
      <family val="2"/>
      <charset val="204"/>
    </font>
    <font>
      <u/>
      <sz val="10.5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23" fillId="0" borderId="32" xfId="0" applyFont="1" applyBorder="1" applyAlignment="1">
      <alignment horizontal="justify" vertical="center" wrapText="1"/>
    </xf>
    <xf numFmtId="0" fontId="23" fillId="0" borderId="33" xfId="0" applyFont="1" applyBorder="1" applyAlignment="1">
      <alignment horizontal="justify" vertical="center" wrapText="1"/>
    </xf>
    <xf numFmtId="0" fontId="56" fillId="0" borderId="34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3" xfId="0" applyFont="1" applyFill="1" applyBorder="1" applyAlignment="1">
      <alignment horizontal="left" vertical="center"/>
    </xf>
    <xf numFmtId="0" fontId="15" fillId="8" borderId="35" xfId="6" applyFont="1" applyBorder="1" applyAlignment="1">
      <alignment horizontal="left" vertical="center"/>
    </xf>
    <xf numFmtId="14" fontId="55" fillId="9" borderId="36" xfId="7" applyNumberFormat="1" applyFont="1" applyBorder="1" applyAlignment="1">
      <alignment horizontal="left" vertical="center"/>
    </xf>
    <xf numFmtId="14" fontId="48" fillId="9" borderId="37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4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38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71" fillId="0" borderId="5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6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topLeftCell="A4" zoomScaleNormal="100" zoomScaleSheetLayoutView="100" zoomScalePageLayoutView="90" workbookViewId="0">
      <selection activeCell="K19" sqref="K1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5" t="s">
        <v>213</v>
      </c>
      <c r="B6" s="216"/>
      <c r="C6" s="216"/>
      <c r="D6" s="216"/>
      <c r="E6" s="216"/>
      <c r="F6" s="216"/>
      <c r="G6" s="216"/>
      <c r="H6" s="217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45559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0.51736111111111105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0.52222222222222225</v>
      </c>
      <c r="C10" s="55"/>
      <c r="D10" s="95" t="s">
        <v>173</v>
      </c>
      <c r="E10" s="93"/>
      <c r="F10" s="93"/>
      <c r="G10" s="24" t="s">
        <v>275</v>
      </c>
      <c r="H10" s="26"/>
    </row>
    <row r="11" spans="1:8" ht="17.25" thickTop="1" thickBot="1">
      <c r="A11" s="89" t="s">
        <v>192</v>
      </c>
      <c r="B11" s="201" t="s">
        <v>529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27992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48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27139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3" t="s">
        <v>399</v>
      </c>
      <c r="H15" s="167" t="s">
        <v>528</v>
      </c>
    </row>
    <row r="16" spans="1:8" ht="15.6" customHeight="1">
      <c r="A16" s="15" t="s">
        <v>106</v>
      </c>
      <c r="B16" s="19" t="s">
        <v>485</v>
      </c>
      <c r="D16" s="36"/>
      <c r="E16" s="36"/>
      <c r="F16" s="36"/>
      <c r="G16" s="164" t="s">
        <v>401</v>
      </c>
      <c r="H16" s="162">
        <v>5687</v>
      </c>
    </row>
    <row r="17" spans="1:8" ht="14.45" customHeight="1">
      <c r="A17" s="40"/>
      <c r="B17" s="31"/>
      <c r="C17" s="31"/>
      <c r="D17" s="88"/>
      <c r="E17" s="88"/>
      <c r="F17" s="88"/>
      <c r="G17" s="165" t="s">
        <v>388</v>
      </c>
      <c r="H17" s="166">
        <f>H16*0.0019</f>
        <v>10.805300000000001</v>
      </c>
    </row>
    <row r="18" spans="1:8" ht="14.45" customHeight="1">
      <c r="A18" s="57" t="s">
        <v>188</v>
      </c>
      <c r="B18" s="87" t="s">
        <v>525</v>
      </c>
      <c r="D18" s="28" t="s">
        <v>210</v>
      </c>
      <c r="E18" s="28"/>
      <c r="F18" s="28"/>
      <c r="G18" s="85" t="s">
        <v>189</v>
      </c>
      <c r="H18" s="86" t="s">
        <v>522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8" t="s">
        <v>523</v>
      </c>
      <c r="C20" s="219"/>
      <c r="D20" s="219"/>
      <c r="E20" s="219"/>
      <c r="F20" s="219"/>
      <c r="G20" s="219"/>
      <c r="H20" s="220"/>
    </row>
    <row r="21" spans="1:8">
      <c r="A21" s="58"/>
      <c r="B21" s="221"/>
      <c r="C21" s="221"/>
      <c r="D21" s="221"/>
      <c r="E21" s="221"/>
      <c r="F21" s="221"/>
      <c r="G21" s="221"/>
      <c r="H21" s="222"/>
    </row>
    <row r="22" spans="1:8" ht="15.6" customHeight="1">
      <c r="A22" s="59" t="s">
        <v>271</v>
      </c>
      <c r="B22" s="223" t="s">
        <v>532</v>
      </c>
      <c r="C22" s="223"/>
      <c r="D22" s="223"/>
      <c r="E22" s="223"/>
      <c r="F22" s="223"/>
      <c r="G22" s="223"/>
      <c r="H22" s="224"/>
    </row>
    <row r="23" spans="1:8" ht="14.45" customHeight="1">
      <c r="A23" s="38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60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38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40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59" t="s">
        <v>272</v>
      </c>
      <c r="B27" s="223" t="s">
        <v>531</v>
      </c>
      <c r="C27" s="223"/>
      <c r="D27" s="223"/>
      <c r="E27" s="223"/>
      <c r="F27" s="223"/>
      <c r="G27" s="223"/>
      <c r="H27" s="224"/>
    </row>
    <row r="28" spans="1:8" ht="15.6" customHeight="1">
      <c r="A28" s="38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38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3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33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59" t="s">
        <v>273</v>
      </c>
      <c r="B32" s="229" t="s">
        <v>530</v>
      </c>
      <c r="C32" s="223"/>
      <c r="D32" s="223"/>
      <c r="E32" s="223"/>
      <c r="F32" s="223"/>
      <c r="G32" s="223"/>
      <c r="H32" s="224"/>
    </row>
    <row r="33" spans="1:8" ht="14.45" customHeight="1">
      <c r="A33" s="38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38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38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11" t="str">
        <f>IF($A$6=Вмешательства!$D$3,Вмешательства!$F$18,"")</f>
        <v/>
      </c>
      <c r="E37" s="211"/>
      <c r="F37" s="119"/>
      <c r="G37" s="119"/>
      <c r="H37" s="123"/>
    </row>
    <row r="38" spans="1:8" ht="14.45" customHeight="1">
      <c r="A38" s="38"/>
      <c r="C38" s="124"/>
      <c r="D38" s="212"/>
      <c r="E38" s="213"/>
      <c r="F38" s="213"/>
      <c r="G38" s="213"/>
      <c r="H38" s="214"/>
    </row>
    <row r="39" spans="1:8" ht="14.45" customHeight="1">
      <c r="A39" s="35"/>
      <c r="B39" s="119"/>
      <c r="C39" s="124"/>
      <c r="D39" s="213"/>
      <c r="E39" s="213"/>
      <c r="F39" s="213"/>
      <c r="G39" s="213"/>
      <c r="H39" s="214"/>
    </row>
    <row r="40" spans="1:8" ht="14.45" customHeight="1">
      <c r="A40" s="35"/>
      <c r="B40" s="119"/>
      <c r="C40" s="124"/>
      <c r="D40" s="213"/>
      <c r="E40" s="213"/>
      <c r="F40" s="213"/>
      <c r="G40" s="213"/>
      <c r="H40" s="214"/>
    </row>
    <row r="41" spans="1:8" ht="14.45" customHeight="1">
      <c r="A41" s="35"/>
      <c r="B41" s="119"/>
      <c r="C41" s="124"/>
      <c r="D41" s="213"/>
      <c r="E41" s="213"/>
      <c r="F41" s="213"/>
      <c r="G41" s="213"/>
      <c r="H41" s="214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8" t="s">
        <v>526</v>
      </c>
      <c r="E43" s="209"/>
      <c r="F43" s="209"/>
      <c r="G43" s="209"/>
      <c r="H43" s="210"/>
    </row>
    <row r="44" spans="1:8" ht="14.45" customHeight="1">
      <c r="A44" s="35"/>
      <c r="B44" s="119"/>
      <c r="C44" s="126"/>
      <c r="D44" s="209"/>
      <c r="E44" s="209"/>
      <c r="F44" s="209"/>
      <c r="G44" s="209"/>
      <c r="H44" s="210"/>
    </row>
    <row r="45" spans="1:8" ht="14.45" customHeight="1">
      <c r="A45" s="35"/>
      <c r="B45" s="119"/>
      <c r="C45" s="126"/>
      <c r="D45" s="209"/>
      <c r="E45" s="209"/>
      <c r="F45" s="209"/>
      <c r="G45" s="209"/>
      <c r="H45" s="210"/>
    </row>
    <row r="46" spans="1:8">
      <c r="A46" s="35"/>
      <c r="B46" s="119"/>
      <c r="C46" s="126"/>
      <c r="D46" s="209"/>
      <c r="E46" s="209"/>
      <c r="F46" s="209"/>
      <c r="G46" s="209"/>
      <c r="H46" s="210"/>
    </row>
    <row r="47" spans="1:8">
      <c r="A47" s="38"/>
      <c r="C47" s="126"/>
      <c r="D47" s="209"/>
      <c r="E47" s="209"/>
      <c r="F47" s="209"/>
      <c r="G47" s="209"/>
      <c r="H47" s="210"/>
    </row>
    <row r="48" spans="1:8">
      <c r="A48" s="38"/>
      <c r="C48" s="126"/>
      <c r="D48" s="209"/>
      <c r="E48" s="209"/>
      <c r="F48" s="209"/>
      <c r="G48" s="209"/>
      <c r="H48" s="210"/>
    </row>
    <row r="49" spans="1:13">
      <c r="A49" s="38"/>
      <c r="B49" s="203"/>
      <c r="C49" s="204"/>
      <c r="D49" s="209"/>
      <c r="E49" s="209"/>
      <c r="F49" s="209"/>
      <c r="G49" s="209"/>
      <c r="H49" s="210"/>
    </row>
    <row r="50" spans="1:13">
      <c r="A50" s="38"/>
      <c r="D50" s="209"/>
      <c r="E50" s="209"/>
      <c r="F50" s="209"/>
      <c r="G50" s="209"/>
      <c r="H50" s="210"/>
      <c r="M50" t="s">
        <v>211</v>
      </c>
    </row>
    <row r="51" spans="1:13">
      <c r="A51" s="62" t="s">
        <v>199</v>
      </c>
      <c r="B51" s="63" t="s">
        <v>524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Normal="100" zoomScaleSheetLayoutView="100" zoomScalePageLayoutView="90" workbookViewId="0">
      <selection activeCell="B16" sqref="B16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0" t="s">
        <v>208</v>
      </c>
      <c r="B6" s="241"/>
      <c r="C6" s="241"/>
      <c r="D6" s="241"/>
      <c r="E6" s="241"/>
      <c r="F6" s="241"/>
      <c r="G6" s="241"/>
      <c r="H6" s="242"/>
    </row>
    <row r="7" spans="1:8" ht="21.6" customHeight="1">
      <c r="A7" s="240"/>
      <c r="B7" s="241"/>
      <c r="C7" s="241"/>
      <c r="D7" s="241"/>
      <c r="E7" s="241"/>
      <c r="F7" s="241"/>
      <c r="G7" s="241"/>
      <c r="H7" s="242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9" t="s">
        <v>221</v>
      </c>
      <c r="D8" s="239"/>
      <c r="E8" s="239"/>
      <c r="F8" s="188">
        <v>1</v>
      </c>
      <c r="G8" s="118" t="s">
        <v>309</v>
      </c>
      <c r="H8" s="156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9"/>
      <c r="D9" s="239"/>
      <c r="E9" s="239"/>
      <c r="F9" s="188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7"/>
      <c r="C10" s="243"/>
      <c r="D10" s="243"/>
      <c r="E10" s="243"/>
      <c r="F10" s="191"/>
      <c r="G10" s="118"/>
      <c r="H10" s="39"/>
    </row>
    <row r="11" spans="1:8">
      <c r="A11" s="190"/>
      <c r="B11" s="194"/>
      <c r="C11" s="197">
        <f>SUM(F8:F10)</f>
        <v>1</v>
      </c>
      <c r="H11" s="39"/>
    </row>
    <row r="12" spans="1:8" ht="18.75">
      <c r="A12" s="75" t="s">
        <v>191</v>
      </c>
      <c r="B12" s="20">
        <f>КАГ!B8</f>
        <v>45559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0.52222222222222225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0.5625</v>
      </c>
      <c r="C14" s="12"/>
      <c r="D14" s="95" t="s">
        <v>173</v>
      </c>
      <c r="E14" s="93"/>
      <c r="F14" s="93"/>
      <c r="G14" s="80" t="str">
        <f>КАГ!G10</f>
        <v>Синицина И.А.</v>
      </c>
      <c r="H14" s="91" t="str">
        <f>IF(ISBLANK(КАГ!H10),"",КАГ!H10)</f>
        <v/>
      </c>
    </row>
    <row r="15" spans="1:8" ht="16.5" thickBot="1">
      <c r="A15" s="161" t="s">
        <v>387</v>
      </c>
      <c r="B15" s="186">
        <f>IF(B14&lt;B13,B14+1,B14)-B13</f>
        <v>4.0277777777777746E-2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199" t="str">
        <f>КАГ!B11</f>
        <v>Модэкин К.В.</v>
      </c>
      <c r="C16" s="198">
        <f>LEN(КАГ!B11)</f>
        <v>12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27992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48</v>
      </c>
      <c r="H18" s="39"/>
    </row>
    <row r="19" spans="1:8" ht="14.45" customHeight="1">
      <c r="A19" s="15" t="s">
        <v>12</v>
      </c>
      <c r="B19" s="68">
        <f>КАГ!B14</f>
        <v>27139</v>
      </c>
      <c r="C19" s="69"/>
      <c r="D19" s="69"/>
      <c r="E19" s="69"/>
      <c r="F19" s="69"/>
      <c r="G19" s="163" t="s">
        <v>399</v>
      </c>
      <c r="H19" s="178" t="str">
        <f>КАГ!H15</f>
        <v>19:34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4" t="s">
        <v>401</v>
      </c>
      <c r="H20" s="179">
        <f>КАГ!H16</f>
        <v>5687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5" t="s">
        <v>388</v>
      </c>
      <c r="H21" s="166">
        <f>КАГ!H17</f>
        <v>10.805300000000001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2" t="str">
        <f>IF(B21=Вмешательства!F3,Вмешательства!F19,"")</f>
        <v>Реканализация:</v>
      </c>
      <c r="H22" s="183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0.52569444444444435</v>
      </c>
    </row>
    <row r="23" spans="1:8" ht="14.45" customHeight="1">
      <c r="A23" s="65" t="s">
        <v>391</v>
      </c>
      <c r="B23" s="170" t="s">
        <v>390</v>
      </c>
      <c r="C23" s="160"/>
      <c r="D23" s="160"/>
      <c r="E23" s="160"/>
      <c r="F23" s="160"/>
      <c r="H23" s="39"/>
    </row>
    <row r="24" spans="1:8" ht="14.45" customHeight="1">
      <c r="A24" s="181" t="s">
        <v>389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47" t="s">
        <v>533</v>
      </c>
      <c r="B25" s="248"/>
      <c r="C25" s="248"/>
      <c r="D25" s="248"/>
      <c r="E25" s="248"/>
      <c r="F25" s="248"/>
      <c r="G25" s="248"/>
      <c r="H25" s="249"/>
    </row>
    <row r="26" spans="1:8" ht="14.45" customHeight="1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>
      <c r="A38" s="175" t="s">
        <v>395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СТЕНТ/Ы</v>
      </c>
      <c r="F38" s="174"/>
      <c r="G38" s="177"/>
    </row>
    <row r="39" spans="1:12" ht="15.75">
      <c r="A39" s="171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2" t="s">
        <v>393</v>
      </c>
      <c r="B40" s="176" t="s">
        <v>534</v>
      </c>
      <c r="C40" s="120"/>
      <c r="D40" s="244" t="s">
        <v>527</v>
      </c>
      <c r="E40" s="245"/>
      <c r="F40" s="245"/>
      <c r="G40" s="245"/>
      <c r="H40" s="246"/>
    </row>
    <row r="41" spans="1:12" ht="14.45" customHeight="1">
      <c r="A41" s="32"/>
      <c r="B41" s="28"/>
      <c r="C41" s="120"/>
      <c r="D41" s="245"/>
      <c r="E41" s="245"/>
      <c r="F41" s="245"/>
      <c r="G41" s="245"/>
      <c r="H41" s="246"/>
    </row>
    <row r="42" spans="1:12" ht="14.45" customHeight="1">
      <c r="A42" s="32"/>
      <c r="B42" s="28"/>
      <c r="C42" s="120"/>
      <c r="D42" s="245"/>
      <c r="E42" s="245"/>
      <c r="F42" s="245"/>
      <c r="G42" s="245"/>
      <c r="H42" s="246"/>
    </row>
    <row r="43" spans="1:12" ht="14.45" customHeight="1">
      <c r="A43" s="32"/>
      <c r="B43" s="28"/>
      <c r="C43" s="120"/>
      <c r="D43" s="245"/>
      <c r="E43" s="245"/>
      <c r="F43" s="245"/>
      <c r="G43" s="245"/>
      <c r="H43" s="246"/>
    </row>
    <row r="44" spans="1:12" ht="14.45" customHeight="1">
      <c r="A44" s="32"/>
      <c r="B44" s="28"/>
      <c r="C44" s="120"/>
      <c r="D44" s="245"/>
      <c r="E44" s="245"/>
      <c r="F44" s="245"/>
      <c r="G44" s="245"/>
      <c r="H44" s="246"/>
      <c r="L44" s="158"/>
    </row>
    <row r="45" spans="1:12" ht="14.45" customHeight="1">
      <c r="A45" s="32"/>
      <c r="B45" s="28"/>
      <c r="C45" s="120"/>
      <c r="D45" s="245"/>
      <c r="E45" s="245"/>
      <c r="F45" s="245"/>
      <c r="G45" s="245"/>
      <c r="H45" s="246"/>
    </row>
    <row r="46" spans="1:12" ht="14.45" customHeight="1">
      <c r="A46" s="32"/>
      <c r="B46" s="28"/>
      <c r="C46" s="120"/>
      <c r="D46" s="245"/>
      <c r="E46" s="245"/>
      <c r="F46" s="245"/>
      <c r="G46" s="245"/>
      <c r="H46" s="246"/>
    </row>
    <row r="47" spans="1:12" ht="14.45" customHeight="1">
      <c r="A47" s="38"/>
      <c r="C47" s="120"/>
      <c r="D47" s="245"/>
      <c r="E47" s="245"/>
      <c r="F47" s="245"/>
      <c r="G47" s="245"/>
      <c r="H47" s="246"/>
    </row>
    <row r="48" spans="1:12" ht="14.45" customHeight="1">
      <c r="A48" s="38"/>
      <c r="C48" s="120"/>
      <c r="D48" s="245"/>
      <c r="E48" s="245"/>
      <c r="F48" s="245"/>
      <c r="G48" s="245"/>
      <c r="H48" s="246"/>
    </row>
    <row r="49" spans="1:8" ht="14.45" customHeight="1">
      <c r="A49" s="38"/>
      <c r="C49" s="120"/>
      <c r="D49" s="245"/>
      <c r="E49" s="245"/>
      <c r="F49" s="245"/>
      <c r="G49" s="245"/>
      <c r="H49" s="246"/>
    </row>
    <row r="50" spans="1:8">
      <c r="A50" s="62" t="s">
        <v>199</v>
      </c>
      <c r="B50" s="63" t="s">
        <v>535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0" t="s">
        <v>371</v>
      </c>
      <c r="B52" s="231"/>
      <c r="C52" s="231"/>
      <c r="D52" s="231"/>
      <c r="E52" s="231"/>
      <c r="F52" s="232"/>
      <c r="H52" s="39"/>
    </row>
    <row r="53" spans="1:8" ht="15" customHeight="1">
      <c r="A53" s="233"/>
      <c r="B53" s="234"/>
      <c r="C53" s="234"/>
      <c r="D53" s="234"/>
      <c r="E53" s="234"/>
      <c r="F53" s="235"/>
      <c r="G53" s="74" t="str">
        <f>IF(ISBLANK(H13),"",H13)</f>
        <v/>
      </c>
      <c r="H53" s="64"/>
    </row>
    <row r="54" spans="1:8">
      <c r="A54" s="236"/>
      <c r="B54" s="237"/>
      <c r="C54" s="237"/>
      <c r="D54" s="237"/>
      <c r="E54" s="237"/>
      <c r="F54" s="238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O16" sqref="O16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45559</v>
      </c>
      <c r="C2" s="150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5" t="s">
        <v>195</v>
      </c>
      <c r="B4" s="146" t="s">
        <v>105</v>
      </c>
      <c r="C4" s="147" t="s">
        <v>15</v>
      </c>
      <c r="D4" s="202" t="str">
        <f>КАГ!$B$11</f>
        <v>Модэкин К.В.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27992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48</v>
      </c>
    </row>
    <row r="7" spans="1:4">
      <c r="A7" s="38"/>
      <c r="C7" s="101" t="s">
        <v>12</v>
      </c>
      <c r="D7" s="103">
        <f>КАГ!$B$14</f>
        <v>27139</v>
      </c>
    </row>
    <row r="8" spans="1:4">
      <c r="A8" s="192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2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3"/>
      <c r="B10" s="31"/>
      <c r="C10" s="148" t="s">
        <v>13</v>
      </c>
      <c r="D10" s="149">
        <f>КАГ!$B$8</f>
        <v>45559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1" t="s">
        <v>306</v>
      </c>
      <c r="C13" s="185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2" t="s">
        <v>326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2" t="s">
        <v>536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2" t="s">
        <v>315</v>
      </c>
      <c r="C16" s="135"/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2" t="s">
        <v>375</v>
      </c>
      <c r="C17" s="135" t="s">
        <v>403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2" t="s">
        <v>375</v>
      </c>
      <c r="C18" s="135" t="s">
        <v>406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2" t="s">
        <v>324</v>
      </c>
      <c r="C19" s="180" t="s">
        <v>470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2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2"/>
      <c r="C22" s="135"/>
      <c r="D22" s="140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2"/>
      <c r="C23" s="135"/>
      <c r="D23" s="140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2"/>
      <c r="C24" s="135"/>
      <c r="D24" s="140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4"/>
      <c r="C25" s="144"/>
      <c r="D25" s="140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516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4" zoomScaleNormal="100" workbookViewId="0">
      <selection activeCell="A44" sqref="A44:A76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7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Pilot 50_300 sm</v>
      </c>
      <c r="U2" s="115" t="str">
        <f>IFERROR(INDEX(Расходка[Наименование расходного материала],MATCH(Расходка[[#This Row],[№]],Поиск_расходки[Индекс4],0)),"")</f>
        <v>Fielder</v>
      </c>
      <c r="V2" s="115" t="str">
        <f>IFERROR(INDEX(Расходка[Наименование расходного материала],MATCH(Расходка[[#This Row],[№]],Поиск_расходки[Индекс5],0)),"")</f>
        <v>Колибри</v>
      </c>
      <c r="W2" s="115" t="str">
        <f>IFERROR(INDEX(Расходка[Наименование расходного материала],MATCH(Расходка[[#This Row],[№]],Поиск_расходки[Индекс6],0)),"")</f>
        <v>Колибри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>Fielder XT-A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>Fielder XT-R</v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7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1</v>
      </c>
      <c r="J10" s="116">
        <f>IF(ISNUMBER(SEARCH('Карта учёта'!$B$18,Расходка[[#This Row],[Наименование расходного материала]])),MAX($J$1:J9)+1,0)</f>
        <v>1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7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2</v>
      </c>
      <c r="J11" s="116">
        <f>IF(ISNUMBER(SEARCH('Карта учёта'!$B$18,Расходка[[#This Row],[Наименование расходного материала]])),MAX($J$1:J10)+1,0)</f>
        <v>2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7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7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7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507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509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1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2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3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511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513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520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521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510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519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3</v>
      </c>
      <c r="C53" t="s">
        <v>536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1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Pilot 50_300 sm</v>
      </c>
      <c r="Z53" s="115" t="str">
        <f>IFERROR(INDEX(Расходка[Наименование расходного материала],MATCH(Расходка[[#This Row],[№]],Поиск_расходки[Индекс9],0)),"")</f>
        <v>Pilot 50_300 sm</v>
      </c>
      <c r="AA53" s="115" t="str">
        <f>IFERROR(INDEX(Расходка[Наименование расходного материала],MATCH(Расходка[[#This Row],[№]],Поиск_расходки[Индекс10],0)),"")</f>
        <v>Pilot 50_300 sm</v>
      </c>
      <c r="AB53" s="115" t="str">
        <f>IFERROR(INDEX(Расходка[Наименование расходного материала],MATCH(Расходка[[#This Row],[№]],Поиск_расходки[Индекс11],0)),"")</f>
        <v>Pilot 50_300 sm</v>
      </c>
      <c r="AC53" s="115" t="str">
        <f>IFERROR(INDEX(Расходка[Наименование расходного материала],MATCH(Расходка[[#This Row],[№]],Поиск_расходки[Индекс12],0)),"")</f>
        <v>Pilot 50_300 sm</v>
      </c>
      <c r="AD53" s="115" t="str">
        <f>IFERROR(INDEX(Расходка[Наименование расходного материала],MATCH(Расходка[[#This Row],[№]],Поиск_расходки[Индекс13],0)),"")</f>
        <v>Pilot 50_300 sm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" t="s">
        <v>278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BMS, Integtity</v>
      </c>
      <c r="Z54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4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4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4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4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5" t="s">
        <v>346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Calipso</v>
      </c>
      <c r="Z55" s="115" t="str">
        <f>IFERROR(INDEX(Расходка[Наименование расходного материала],MATCH(Расходка[[#This Row],[№]],Поиск_расходки[Индекс9],0)),"")</f>
        <v>DES, Calipso</v>
      </c>
      <c r="AA55" s="115" t="str">
        <f>IFERROR(INDEX(Расходка[Наименование расходного материала],MATCH(Расходка[[#This Row],[№]],Поиск_расходки[Индекс10],0)),"")</f>
        <v>DES, Calipso</v>
      </c>
      <c r="AB55" s="115" t="str">
        <f>IFERROR(INDEX(Расходка[Наименование расходного материала],MATCH(Расходка[[#This Row],[№]],Поиск_расходки[Индекс11],0)),"")</f>
        <v>DES, Calipso</v>
      </c>
      <c r="AC55" s="115" t="str">
        <f>IFERROR(INDEX(Расходка[Наименование расходного материала],MATCH(Расходка[[#This Row],[№]],Поиск_расходки[Индекс12],0)),"")</f>
        <v>DES, Calipso</v>
      </c>
      <c r="AD55" s="115" t="str">
        <f>IFERROR(INDEX(Расходка[Наименование расходного материала],MATCH(Расходка[[#This Row],[№]],Поиск_расходки[Индекс13],0)),"")</f>
        <v>DES, Calipso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55" t="s">
        <v>345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DES, NanoMed</v>
      </c>
      <c r="Z56" s="115" t="str">
        <f>IFERROR(INDEX(Расходка[Наименование расходного материала],MATCH(Расходка[[#This Row],[№]],Поиск_расходки[Индекс9],0)),"")</f>
        <v>DES, NanoMed</v>
      </c>
      <c r="AA56" s="115" t="str">
        <f>IFERROR(INDEX(Расходка[Наименование расходного материала],MATCH(Расходка[[#This Row],[№]],Поиск_расходки[Индекс10],0)),"")</f>
        <v>DES, NanoMed</v>
      </c>
      <c r="AB56" s="115" t="str">
        <f>IFERROR(INDEX(Расходка[Наименование расходного материала],MATCH(Расходка[[#This Row],[№]],Поиск_расходки[Индекс11],0)),"")</f>
        <v>DES, NanoMed</v>
      </c>
      <c r="AC56" s="115" t="str">
        <f>IFERROR(INDEX(Расходка[Наименование расходного материала],MATCH(Расходка[[#This Row],[№]],Поиск_расходки[Индекс12],0)),"")</f>
        <v>DES, NanoMed</v>
      </c>
      <c r="AD56" s="115" t="str">
        <f>IFERROR(INDEX(Расходка[Наименование расходного материала],MATCH(Расходка[[#This Row],[№]],Поиск_расходки[Индекс13],0)),"")</f>
        <v>DES, NanoMed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s="130" t="s">
        <v>324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1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7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7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7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7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7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t="s">
        <v>358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8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8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8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8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8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s="159" t="s">
        <v>386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DES, Firehawk</v>
      </c>
      <c r="Z59" s="115" t="str">
        <f>IFERROR(INDEX(Расходка[Наименование расходного материала],MATCH(Расходка[[#This Row],[№]],Поиск_расходки[Индекс9],0)),"")</f>
        <v>DES, Firehawk</v>
      </c>
      <c r="AA59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9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9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9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385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60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60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60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60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60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517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1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1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1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1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1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1" s="4" t="s">
        <v>6</v>
      </c>
      <c r="AG61" s="4" t="s">
        <v>415</v>
      </c>
    </row>
    <row r="62" spans="1:33">
      <c r="A62">
        <v>61</v>
      </c>
      <c r="B62" t="s">
        <v>6</v>
      </c>
      <c r="C62" t="s">
        <v>518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2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2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2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2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2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325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3" s="4" t="s">
        <v>6</v>
      </c>
      <c r="AG63" s="4" t="s">
        <v>456</v>
      </c>
    </row>
    <row r="64" spans="1:33">
      <c r="A64">
        <v>63</v>
      </c>
      <c r="B64" t="s">
        <v>95</v>
      </c>
      <c r="C64" s="1" t="s">
        <v>344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351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352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326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1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0</v>
      </c>
      <c r="K67" s="195">
        <f>IF(ISNUMBER(SEARCH('Карта учёта'!$B$19,Расходка[[#This Row],[Наименование расходного материала]])),MAX($K$1:K66)+1,0)</f>
        <v>0</v>
      </c>
      <c r="L67" s="195">
        <f>IF(ISNUMBER(SEARCH('Карта учёта'!$B$20,Расходка[[#This Row],[Наименование расходного материала]])),MAX($L$1:L66)+1,0)</f>
        <v>66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/>
      </c>
      <c r="X67" s="196" t="str">
        <f>IFERROR(INDEX(Расходка[Наименование расходного материала],MATCH(Расходка[[#This Row],[№]],Поиск_расходки[Индекс7],0)),"")</f>
        <v/>
      </c>
      <c r="Y67" s="196" t="str">
        <f>IFERROR(INDEX(Расходка[Наименование расходного материала],MATCH(Расходка[[#This Row],[№]],Поиск_расходки[Индекс8],0)),"")</f>
        <v>Launcher 6F EBU 3.5</v>
      </c>
      <c r="Z67" s="196" t="str">
        <f>IFERROR(INDEX(Расходка[Наименование расходного материала],MATCH(Расходка[[#This Row],[№]],Поиск_расходки[Индекс9],0)),"")</f>
        <v>Launcher 6F EBU 3.5</v>
      </c>
      <c r="AA67" s="196" t="str">
        <f>IFERROR(INDEX(Расходка[Наименование расходного материала],MATCH(Расходка[[#This Row],[№]],Поиск_расходки[Индекс10],0)),"")</f>
        <v>Launcher 6F EBU 3.5</v>
      </c>
      <c r="AB67" s="196" t="str">
        <f>IFERROR(INDEX(Расходка[Наименование расходного материала],MATCH(Расходка[[#This Row],[№]],Поиск_расходки[Индекс11],0)),"")</f>
        <v>Launcher 6F EBU 3.5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EBU 3.5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EBU 3.5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327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0</v>
      </c>
      <c r="K68" s="195">
        <f>IF(ISNUMBER(SEARCH('Карта учёта'!$B$19,Расходка[[#This Row],[Наименование расходного материала]])),MAX($K$1:K67)+1,0)</f>
        <v>0</v>
      </c>
      <c r="L68" s="195">
        <f>IF(ISNUMBER(SEARCH('Карта учёта'!$B$20,Расходка[[#This Row],[Наименование расходного материала]])),MAX($L$1:L67)+1,0)</f>
        <v>67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/>
      </c>
      <c r="X68" s="196" t="str">
        <f>IFERROR(INDEX(Расходка[Наименование расходного материала],MATCH(Расходка[[#This Row],[№]],Поиск_расходки[Индекс7],0)),"")</f>
        <v/>
      </c>
      <c r="Y68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68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68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328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0</v>
      </c>
      <c r="K69" s="195">
        <f>IF(ISNUMBER(SEARCH('Карта учёта'!$B$19,Расходка[[#This Row],[Наименование расходного материала]])),MAX($K$1:K68)+1,0)</f>
        <v>0</v>
      </c>
      <c r="L69" s="195">
        <f>IF(ISNUMBER(SEARCH('Карта учёта'!$B$20,Расходка[[#This Row],[Наименование расходного материала]])),MAX($L$1:L68)+1,0)</f>
        <v>68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/>
      </c>
      <c r="X69" s="196" t="str">
        <f>IFERROR(INDEX(Расходка[Наименование расходного материала],MATCH(Расходка[[#This Row],[№]],Поиск_расходки[Индекс7],0)),"")</f>
        <v/>
      </c>
      <c r="Y69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69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329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0</v>
      </c>
      <c r="K70" s="195">
        <f>IF(ISNUMBER(SEARCH('Карта учёта'!$B$19,Расходка[[#This Row],[Наименование расходного материала]])),MAX($K$1:K69)+1,0)</f>
        <v>0</v>
      </c>
      <c r="L70" s="195">
        <f>IF(ISNUMBER(SEARCH('Карта учёта'!$B$20,Расходка[[#This Row],[Наименование расходного материала]])),MAX($L$1:L69)+1,0)</f>
        <v>69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/>
      </c>
      <c r="X70" s="196" t="str">
        <f>IFERROR(INDEX(Расходка[Наименование расходного материала],MATCH(Расходка[[#This Row],[№]],Поиск_расходки[Индекс7],0)),"")</f>
        <v/>
      </c>
      <c r="Y70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70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335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0</v>
      </c>
      <c r="K71" s="195">
        <f>IF(ISNUMBER(SEARCH('Карта учёта'!$B$19,Расходка[[#This Row],[Наименование расходного материала]])),MAX($K$1:K70)+1,0)</f>
        <v>0</v>
      </c>
      <c r="L71" s="195">
        <f>IF(ISNUMBER(SEARCH('Карта учёта'!$B$20,Расходка[[#This Row],[Наименование расходного материала]])),MAX($L$1:L70)+1,0)</f>
        <v>70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/>
      </c>
      <c r="X71" s="196" t="str">
        <f>IFERROR(INDEX(Расходка[Наименование расходного материала],MATCH(Расходка[[#This Row],[№]],Поиск_расходки[Индекс7],0)),"")</f>
        <v/>
      </c>
      <c r="Y71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1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330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0</v>
      </c>
      <c r="K72" s="195">
        <f>IF(ISNUMBER(SEARCH('Карта учёта'!$B$19,Расходка[[#This Row],[Наименование расходного материала]])),MAX($K$1:K71)+1,0)</f>
        <v>0</v>
      </c>
      <c r="L72" s="195">
        <f>IF(ISNUMBER(SEARCH('Карта учёта'!$B$20,Расходка[[#This Row],[Наименование расходного материала]])),MAX($L$1:L71)+1,0)</f>
        <v>71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/>
      </c>
      <c r="X72" s="196" t="str">
        <f>IFERROR(INDEX(Расходка[Наименование расходного материала],MATCH(Расходка[[#This Row],[№]],Поиск_расходки[Индекс7],0)),"")</f>
        <v/>
      </c>
      <c r="Y72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2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331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0</v>
      </c>
      <c r="K73" s="195">
        <f>IF(ISNUMBER(SEARCH('Карта учёта'!$B$19,Расходка[[#This Row],[Наименование расходного материала]])),MAX($K$1:K72)+1,0)</f>
        <v>0</v>
      </c>
      <c r="L73" s="195">
        <f>IF(ISNUMBER(SEARCH('Карта учёта'!$B$20,Расходка[[#This Row],[Наименование расходного материала]])),MAX($L$1:L72)+1,0)</f>
        <v>72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/>
      </c>
      <c r="X73" s="196" t="str">
        <f>IFERROR(INDEX(Расходка[Наименование расходного материала],MATCH(Расходка[[#This Row],[№]],Поиск_расходки[Индекс7],0)),"")</f>
        <v/>
      </c>
      <c r="Y73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3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3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3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3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3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341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0</v>
      </c>
      <c r="K74" s="195">
        <f>IF(ISNUMBER(SEARCH('Карта учёта'!$B$19,Расходка[[#This Row],[Наименование расходного материала]])),MAX($K$1:K73)+1,0)</f>
        <v>0</v>
      </c>
      <c r="L74" s="195">
        <f>IF(ISNUMBER(SEARCH('Карта учёта'!$B$20,Расходка[[#This Row],[Наименование расходного материала]])),MAX($L$1:L73)+1,0)</f>
        <v>73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/>
      </c>
      <c r="X74" s="196" t="str">
        <f>IFERROR(INDEX(Расходка[Наименование расходного материала],MATCH(Расходка[[#This Row],[№]],Поиск_расходки[Индекс7],0)),"")</f>
        <v/>
      </c>
      <c r="Y74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4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4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4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4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4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4" s="4" t="s">
        <v>6</v>
      </c>
      <c r="AG74" s="4" t="s">
        <v>465</v>
      </c>
    </row>
    <row r="75" spans="1:33">
      <c r="A75">
        <v>74</v>
      </c>
      <c r="B75" t="s">
        <v>4</v>
      </c>
      <c r="C75" t="s">
        <v>340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0</v>
      </c>
      <c r="K75" s="195">
        <f>IF(ISNUMBER(SEARCH('Карта учёта'!$B$19,Расходка[[#This Row],[Наименование расходного материала]])),MAX($K$1:K74)+1,0)</f>
        <v>0</v>
      </c>
      <c r="L75" s="195">
        <f>IF(ISNUMBER(SEARCH('Карта учёта'!$B$20,Расходка[[#This Row],[Наименование расходного материала]])),MAX($L$1:L74)+1,0)</f>
        <v>74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/>
      </c>
      <c r="X75" s="196" t="str">
        <f>IFERROR(INDEX(Расходка[Наименование расходного материала],MATCH(Расходка[[#This Row],[№]],Поиск_расходки[Индекс7],0)),"")</f>
        <v/>
      </c>
      <c r="Y75" s="196" t="str">
        <f>IFERROR(INDEX(Расходка[Наименование расходного материала],MATCH(Расходка[[#This Row],[№]],Поиск_расходки[Индекс8],0)),"")</f>
        <v>Launcher 7F JL 4.0</v>
      </c>
      <c r="Z75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75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5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5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5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5" s="4" t="s">
        <v>6</v>
      </c>
      <c r="AG75" s="4" t="s">
        <v>466</v>
      </c>
    </row>
    <row r="76" spans="1:33">
      <c r="A76">
        <v>75</v>
      </c>
      <c r="B76" t="s">
        <v>301</v>
      </c>
      <c r="C76" s="1" t="s">
        <v>332</v>
      </c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0</v>
      </c>
      <c r="K76" s="195">
        <f>IF(ISNUMBER(SEARCH('Карта учёта'!$B$19,Расходка[[#This Row],[Наименование расходного материала]])),MAX($K$1:K75)+1,0)</f>
        <v>0</v>
      </c>
      <c r="L76" s="195">
        <f>IF(ISNUMBER(SEARCH('Карта учёта'!$B$20,Расходка[[#This Row],[Наименование расходного материала]])),MAX($L$1:L75)+1,0)</f>
        <v>75</v>
      </c>
      <c r="M76" s="195">
        <f>IF(ISNUMBER(SEARCH('Карта учёта'!$B$21,Расходка[[#This Row],[Наименование расходного материала]])),MAX($M$1:M75)+1,0)</f>
        <v>75</v>
      </c>
      <c r="N76" s="195">
        <f>IF(ISNUMBER(SEARCH('Карта учёта'!$B$22,Расходка[[#This Row],[Наименование расходного материала]])),MAX($N$1:N75)+1,0)</f>
        <v>75</v>
      </c>
      <c r="O76" s="195">
        <f>IF(ISNUMBER(SEARCH('Карта учёта'!$B$23,Расходка[[#This Row],[Наименование расходного материала]])),MAX($O$1:O75)+1,0)</f>
        <v>75</v>
      </c>
      <c r="P76" s="195">
        <f>IF(ISNUMBER(SEARCH('Карта учёта'!$B$24,Расходка[[#This Row],[Наименование расходного материала]])),MAX($P$1:P75)+1,0)</f>
        <v>75</v>
      </c>
      <c r="Q76" s="195">
        <f>IF(ISNUMBER(SEARCH('Карта учёта'!$B$25,Расходка[[#This Row],[Наименование расходного материала]])),MAX($Q$1:Q75)+1,0)</f>
        <v>75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/>
      </c>
      <c r="Y76" s="196" t="str">
        <f>IFERROR(INDEX(Расходка[Наименование расходного материала],MATCH(Расходка[[#This Row],[№]],Поиск_расходки[Индекс8],0)),"")</f>
        <v>Angio-Seal™ VIP</v>
      </c>
      <c r="Z76" s="196" t="str">
        <f>IFERROR(INDEX(Расходка[Наименование расходного материала],MATCH(Расходка[[#This Row],[№]],Поиск_расходки[Индекс9],0)),"")</f>
        <v>Angio-Seal™ VIP</v>
      </c>
      <c r="AA76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76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6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6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6" s="4" t="s">
        <v>6</v>
      </c>
      <c r="AG76" s="4" t="s">
        <v>467</v>
      </c>
    </row>
    <row r="77" spans="1:33"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0</v>
      </c>
      <c r="K77" s="195">
        <f>IF(ISNUMBER(SEARCH('Карта учёта'!$B$19,Расходка[[#This Row],[Наименование расходного материала]])),MAX($K$1:K76)+1,0)</f>
        <v>0</v>
      </c>
      <c r="L77" s="195">
        <f>IF(ISNUMBER(SEARCH('Карта учёта'!$B$20,Расходка[[#This Row],[Наименование расходного материала]])),MAX($L$1:L76)+1,0)</f>
        <v>0</v>
      </c>
      <c r="M77" s="195">
        <f>IF(ISNUMBER(SEARCH('Карта учёта'!$B$21,Расходка[[#This Row],[Наименование расходного материала]])),MAX($M$1:M76)+1,0)</f>
        <v>0</v>
      </c>
      <c r="N77" s="195">
        <f>IF(ISNUMBER(SEARCH('Карта учёта'!$B$22,Расходка[[#This Row],[Наименование расходного материала]])),MAX($N$1:N76)+1,0)</f>
        <v>0</v>
      </c>
      <c r="O77" s="195">
        <f>IF(ISNUMBER(SEARCH('Карта учёта'!$B$23,Расходка[[#This Row],[Наименование расходного материала]])),MAX($O$1:O76)+1,0)</f>
        <v>0</v>
      </c>
      <c r="P77" s="195">
        <f>IF(ISNUMBER(SEARCH('Карта учёта'!$B$24,Расходка[[#This Row],[Наименование расходного материала]])),MAX($P$1:P76)+1,0)</f>
        <v>0</v>
      </c>
      <c r="Q77" s="195">
        <f>IF(ISNUMBER(SEARCH('Карта учёта'!$B$25,Расходка[[#This Row],[Наименование расходного материала]])),MAX($Q$1:Q76)+1,0)</f>
        <v>0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/>
      </c>
      <c r="Z77" s="196" t="str">
        <f>IFERROR(INDEX(Расходка[Наименование расходного материала],MATCH(Расходка[[#This Row],[№]],Поиск_расходки[Индекс9],0)),"")</f>
        <v/>
      </c>
      <c r="AA77" s="196" t="str">
        <f>IFERROR(INDEX(Расходка[Наименование расходного материала],MATCH(Расходка[[#This Row],[№]],Поиск_расходки[Индекс10],0)),"")</f>
        <v/>
      </c>
      <c r="AB77" s="196" t="str">
        <f>IFERROR(INDEX(Расходка[Наименование расходного материала],MATCH(Расходка[[#This Row],[№]],Поиск_расходки[Индекс11],0)),"")</f>
        <v/>
      </c>
      <c r="AC77" s="196" t="str">
        <f>IFERROR(INDEX(Расходка[Наименование расходного материала],MATCH(Расходка[[#This Row],[№]],Поиск_расходки[Индекс12],0)),"")</f>
        <v/>
      </c>
      <c r="AD77" s="196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0</v>
      </c>
      <c r="K78" s="195">
        <f>IF(ISNUMBER(SEARCH('Карта учёта'!$B$19,Расходка[[#This Row],[Наименование расходного материала]])),MAX($K$1:K77)+1,0)</f>
        <v>0</v>
      </c>
      <c r="L78" s="195">
        <f>IF(ISNUMBER(SEARCH('Карта учёта'!$B$20,Расходка[[#This Row],[Наименование расходного материала]])),MAX($L$1:L77)+1,0)</f>
        <v>0</v>
      </c>
      <c r="M78" s="195">
        <f>IF(ISNUMBER(SEARCH('Карта учёта'!$B$21,Расходка[[#This Row],[Наименование расходного материала]])),MAX($M$1:M77)+1,0)</f>
        <v>0</v>
      </c>
      <c r="N78" s="195">
        <f>IF(ISNUMBER(SEARCH('Карта учёта'!$B$22,Расходка[[#This Row],[Наименование расходного материала]])),MAX($N$1:N77)+1,0)</f>
        <v>0</v>
      </c>
      <c r="O78" s="195">
        <f>IF(ISNUMBER(SEARCH('Карта учёта'!$B$23,Расходка[[#This Row],[Наименование расходного материала]])),MAX($O$1:O77)+1,0)</f>
        <v>0</v>
      </c>
      <c r="P78" s="195">
        <f>IF(ISNUMBER(SEARCH('Карта учёта'!$B$24,Расходка[[#This Row],[Наименование расходного материала]])),MAX($P$1:P77)+1,0)</f>
        <v>0</v>
      </c>
      <c r="Q78" s="195">
        <f>IF(ISNUMBER(SEARCH('Карта учёта'!$B$25,Расходка[[#This Row],[Наименование расходного материала]])),MAX($Q$1:Q77)+1,0)</f>
        <v>0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/>
      </c>
      <c r="Z78" s="196" t="str">
        <f>IFERROR(INDEX(Расходка[Наименование расходного материала],MATCH(Расходка[[#This Row],[№]],Поиск_расходки[Индекс9],0)),"")</f>
        <v/>
      </c>
      <c r="AA78" s="196" t="str">
        <f>IFERROR(INDEX(Расходка[Наименование расходного материала],MATCH(Расходка[[#This Row],[№]],Поиск_расходки[Индекс10],0)),"")</f>
        <v/>
      </c>
      <c r="AB78" s="196" t="str">
        <f>IFERROR(INDEX(Расходка[Наименование расходного материала],MATCH(Расходка[[#This Row],[№]],Поиск_расходки[Индекс11],0)),"")</f>
        <v/>
      </c>
      <c r="AC78" s="196" t="str">
        <f>IFERROR(INDEX(Расходка[Наименование расходного материала],MATCH(Расходка[[#This Row],[№]],Поиск_расходки[Индекс12],0)),"")</f>
        <v/>
      </c>
      <c r="AD78" s="196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2024-09-24T10:56:20Z</cp:lastPrinted>
  <dcterms:created xsi:type="dcterms:W3CDTF">2015-06-05T18:19:34Z</dcterms:created>
  <dcterms:modified xsi:type="dcterms:W3CDTF">2024-09-24T10:56:25Z</dcterms:modified>
</cp:coreProperties>
</file>