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10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2" i="1"/>
  <c r="A16" i="3" l="1"/>
  <c r="A17" i="3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7" i="1"/>
  <c r="F78" i="1"/>
  <c r="G77" i="1"/>
  <c r="G78" i="1"/>
  <c r="H77" i="1"/>
  <c r="H78" i="1"/>
  <c r="I77" i="1"/>
  <c r="I78" i="1"/>
  <c r="J77" i="1"/>
  <c r="J78" i="1"/>
  <c r="K77" i="1"/>
  <c r="K78" i="1"/>
  <c r="L77" i="1"/>
  <c r="L78" i="1"/>
  <c r="M77" i="1"/>
  <c r="M78" i="1"/>
  <c r="N77" i="1"/>
  <c r="N78" i="1"/>
  <c r="O77" i="1"/>
  <c r="O78" i="1"/>
  <c r="P77" i="1"/>
  <c r="P78" i="1"/>
  <c r="Q77" i="1"/>
  <c r="Q78" i="1"/>
  <c r="R77" i="1"/>
  <c r="R78" i="1"/>
  <c r="S77" i="1"/>
  <c r="S78" i="1"/>
  <c r="T77" i="1"/>
  <c r="T78" i="1"/>
  <c r="U77" i="1"/>
  <c r="U78" i="1"/>
  <c r="V77" i="1"/>
  <c r="V78" i="1"/>
  <c r="W77" i="1"/>
  <c r="W78" i="1"/>
  <c r="X77" i="1"/>
  <c r="X78" i="1"/>
  <c r="Y77" i="1"/>
  <c r="Y78" i="1"/>
  <c r="Z77" i="1"/>
  <c r="Z78" i="1"/>
  <c r="AA77" i="1"/>
  <c r="AA78" i="1"/>
  <c r="AB77" i="1"/>
  <c r="AB78" i="1"/>
  <c r="AC77" i="1"/>
  <c r="AC78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P10" i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D75" i="1" l="1"/>
  <c r="Q76" i="1"/>
  <c r="AD76" i="1" s="1"/>
  <c r="AB74" i="1"/>
  <c r="O75" i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AB75" i="1" l="1"/>
  <c r="O76" i="1"/>
  <c r="AB76" i="1" s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H75" i="1"/>
  <c r="H76" i="1" s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F76" i="1" l="1"/>
  <c r="S62" i="1" s="1"/>
  <c r="U65" i="1"/>
  <c r="U76" i="1"/>
  <c r="U2" i="1"/>
  <c r="S12" i="1"/>
  <c r="S56" i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74" i="1" l="1"/>
  <c r="S72" i="1"/>
  <c r="S59" i="1"/>
  <c r="S71" i="1"/>
  <c r="S41" i="1"/>
  <c r="S40" i="1"/>
  <c r="S35" i="1"/>
  <c r="S10" i="1"/>
  <c r="S46" i="1"/>
  <c r="S55" i="1"/>
  <c r="S61" i="1"/>
  <c r="S65" i="1"/>
  <c r="S47" i="1"/>
  <c r="S53" i="1"/>
  <c r="S42" i="1"/>
  <c r="S4" i="1"/>
  <c r="S11" i="1"/>
  <c r="S8" i="1"/>
  <c r="S67" i="1"/>
  <c r="S66" i="1"/>
  <c r="S64" i="1"/>
  <c r="S60" i="1"/>
  <c r="S54" i="1"/>
  <c r="S63" i="1"/>
  <c r="S69" i="1"/>
  <c r="S58" i="1"/>
  <c r="S73" i="1"/>
  <c r="S3" i="1"/>
  <c r="S6" i="1"/>
  <c r="S21" i="1"/>
  <c r="S31" i="1"/>
  <c r="S29" i="1"/>
  <c r="S30" i="1"/>
  <c r="S51" i="1"/>
  <c r="S39" i="1"/>
  <c r="S57" i="1"/>
  <c r="S5" i="1"/>
  <c r="S19" i="1"/>
  <c r="S23" i="1"/>
  <c r="S7" i="1"/>
  <c r="S38" i="1"/>
  <c r="S16" i="1"/>
  <c r="S9" i="1"/>
  <c r="S18" i="1"/>
  <c r="S33" i="1"/>
  <c r="S45" i="1"/>
  <c r="S49" i="1"/>
  <c r="S37" i="1"/>
  <c r="S27" i="1"/>
  <c r="S14" i="1"/>
  <c r="S22" i="1"/>
  <c r="S34" i="1"/>
  <c r="S26" i="1"/>
  <c r="S24" i="1"/>
  <c r="S17" i="1"/>
  <c r="S32" i="1"/>
  <c r="S25" i="1"/>
  <c r="S36" i="1"/>
  <c r="S13" i="1"/>
  <c r="S15" i="1"/>
  <c r="S20" i="1"/>
  <c r="S28" i="1"/>
  <c r="S44" i="1"/>
  <c r="S76" i="1"/>
  <c r="S52" i="1"/>
  <c r="S68" i="1"/>
  <c r="S50" i="1"/>
  <c r="S70" i="1"/>
  <c r="S75" i="1"/>
  <c r="S43" i="1"/>
  <c r="S48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V76" i="1" s="1"/>
  <c r="J76" i="1"/>
  <c r="W75" i="1" s="1"/>
  <c r="W68" i="1"/>
  <c r="W57" i="1"/>
  <c r="W48" i="1"/>
  <c r="V43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W50" i="1" l="1"/>
  <c r="W70" i="1"/>
  <c r="W44" i="1"/>
  <c r="V69" i="1"/>
  <c r="W71" i="1"/>
  <c r="W39" i="1"/>
  <c r="W64" i="1"/>
  <c r="W55" i="1"/>
  <c r="W41" i="1"/>
  <c r="W56" i="1"/>
  <c r="V60" i="1"/>
  <c r="V44" i="1"/>
  <c r="V63" i="1"/>
  <c r="V41" i="1"/>
  <c r="V75" i="1"/>
  <c r="V59" i="1"/>
  <c r="V45" i="1"/>
  <c r="V49" i="1"/>
  <c r="V52" i="1"/>
  <c r="V58" i="1"/>
  <c r="W42" i="1"/>
  <c r="W69" i="1"/>
  <c r="W47" i="1"/>
  <c r="W46" i="1"/>
  <c r="W53" i="1"/>
  <c r="W54" i="1"/>
  <c r="W65" i="1"/>
  <c r="W45" i="1"/>
  <c r="W40" i="1"/>
  <c r="W58" i="1"/>
  <c r="W61" i="1"/>
  <c r="V66" i="1"/>
  <c r="V64" i="1"/>
  <c r="V61" i="1"/>
  <c r="V51" i="1"/>
  <c r="V71" i="1"/>
  <c r="V50" i="1"/>
  <c r="W76" i="1"/>
  <c r="W62" i="1"/>
  <c r="W52" i="1"/>
  <c r="W74" i="1"/>
  <c r="W73" i="1"/>
  <c r="W51" i="1"/>
  <c r="W72" i="1"/>
  <c r="W43" i="1"/>
  <c r="W66" i="1"/>
  <c r="W49" i="1"/>
  <c r="W67" i="1"/>
  <c r="W63" i="1"/>
  <c r="W60" i="1"/>
  <c r="W59" i="1"/>
  <c r="V56" i="1"/>
  <c r="V39" i="1"/>
  <c r="V53" i="1"/>
  <c r="V42" i="1"/>
  <c r="V48" i="1"/>
  <c r="V65" i="1"/>
  <c r="V72" i="1"/>
  <c r="V70" i="1"/>
  <c r="V54" i="1"/>
  <c r="V47" i="1"/>
  <c r="V46" i="1"/>
  <c r="V74" i="1"/>
  <c r="V67" i="1"/>
  <c r="V55" i="1"/>
  <c r="V68" i="1"/>
  <c r="V40" i="1"/>
  <c r="V57" i="1"/>
  <c r="V62" i="1"/>
  <c r="V73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X5" i="1" s="1"/>
  <c r="X51" i="1"/>
  <c r="X49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X70" i="1" l="1"/>
  <c r="X3" i="1"/>
  <c r="X61" i="1"/>
  <c r="X36" i="1"/>
  <c r="X22" i="1"/>
  <c r="X40" i="1"/>
  <c r="X4" i="1"/>
  <c r="X63" i="1"/>
  <c r="X19" i="1"/>
  <c r="X64" i="1"/>
  <c r="X69" i="1"/>
  <c r="X62" i="1"/>
  <c r="X75" i="1"/>
  <c r="X28" i="1"/>
  <c r="X20" i="1"/>
  <c r="X9" i="1"/>
  <c r="X54" i="1"/>
  <c r="X21" i="1"/>
  <c r="X68" i="1"/>
  <c r="X60" i="1"/>
  <c r="X15" i="1"/>
  <c r="X31" i="1"/>
  <c r="X14" i="1"/>
  <c r="X52" i="1"/>
  <c r="X17" i="1"/>
  <c r="X58" i="1"/>
  <c r="X8" i="1"/>
  <c r="X55" i="1"/>
  <c r="X12" i="1"/>
  <c r="X27" i="1"/>
  <c r="X7" i="1"/>
  <c r="X33" i="1"/>
  <c r="X29" i="1"/>
  <c r="X6" i="1"/>
  <c r="X71" i="1"/>
  <c r="X24" i="1"/>
  <c r="X46" i="1"/>
  <c r="X25" i="1"/>
  <c r="X57" i="1"/>
  <c r="X30" i="1"/>
  <c r="X35" i="1"/>
  <c r="X41" i="1"/>
  <c r="X39" i="1"/>
  <c r="X73" i="1"/>
  <c r="X59" i="1"/>
  <c r="X48" i="1"/>
  <c r="X13" i="1"/>
  <c r="X65" i="1"/>
  <c r="X11" i="1"/>
  <c r="X32" i="1"/>
  <c r="X56" i="1"/>
  <c r="X43" i="1"/>
  <c r="X38" i="1"/>
  <c r="X47" i="1"/>
  <c r="X50" i="1"/>
  <c r="X34" i="1"/>
  <c r="X23" i="1"/>
  <c r="X42" i="1"/>
  <c r="X66" i="1"/>
  <c r="X74" i="1"/>
  <c r="X16" i="1"/>
  <c r="X26" i="1"/>
  <c r="X44" i="1"/>
  <c r="X45" i="1"/>
  <c r="X10" i="1"/>
  <c r="X37" i="1"/>
  <c r="X72" i="1"/>
  <c r="X67" i="1"/>
  <c r="X18" i="1"/>
  <c r="X76" i="1"/>
  <c r="X53" i="1"/>
  <c r="AC45" i="1"/>
  <c r="AC44" i="1"/>
  <c r="AA2" i="1"/>
  <c r="AC54" i="1"/>
  <c r="AC52" i="1"/>
  <c r="AC68" i="1"/>
  <c r="P69" i="1"/>
  <c r="P70" i="1" s="1"/>
  <c r="P71" i="1" s="1"/>
  <c r="P72" i="1" s="1"/>
  <c r="P73" i="1" s="1"/>
  <c r="AC50" i="1"/>
  <c r="AC49" i="1"/>
  <c r="AC48" i="1"/>
  <c r="G73" i="1"/>
  <c r="T2" i="1" s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G76" i="1" s="1"/>
  <c r="AC73" i="1"/>
  <c r="P74" i="1"/>
  <c r="N72" i="1"/>
  <c r="N73" i="1" s="1"/>
  <c r="L67" i="1"/>
  <c r="M61" i="1"/>
  <c r="T75" i="1" l="1"/>
  <c r="T76" i="1"/>
  <c r="AC51" i="1"/>
  <c r="P75" i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C75" i="1" l="1"/>
  <c r="P76" i="1"/>
  <c r="AC76" i="1" s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AC53" i="1" l="1"/>
  <c r="AA75" i="1"/>
  <c r="N76" i="1"/>
  <c r="L70" i="1"/>
  <c r="M67" i="1"/>
  <c r="AA76" i="1" l="1"/>
  <c r="AA53" i="1"/>
  <c r="L71" i="1"/>
  <c r="L72" i="1" s="1"/>
  <c r="L73" i="1" s="1"/>
  <c r="M68" i="1"/>
  <c r="L74" i="1" l="1"/>
  <c r="L75" i="1" s="1"/>
  <c r="M69" i="1"/>
  <c r="L76" i="1" l="1"/>
  <c r="Y76" i="1" s="1"/>
  <c r="Y64" i="1"/>
  <c r="Y38" i="1"/>
  <c r="Y39" i="1"/>
  <c r="Y53" i="1"/>
  <c r="Y59" i="1"/>
  <c r="Y12" i="1"/>
  <c r="Y40" i="1"/>
  <c r="Y26" i="1"/>
  <c r="Y52" i="1"/>
  <c r="Y54" i="1"/>
  <c r="Y49" i="1"/>
  <c r="Y22" i="1"/>
  <c r="Y68" i="1"/>
  <c r="Y58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57" i="1" l="1"/>
  <c r="Y67" i="1"/>
  <c r="Y72" i="1"/>
  <c r="Y34" i="1"/>
  <c r="Y28" i="1"/>
  <c r="Y35" i="1"/>
  <c r="Y21" i="1"/>
  <c r="Y8" i="1"/>
  <c r="Y44" i="1"/>
  <c r="Y60" i="1"/>
  <c r="Y61" i="1"/>
  <c r="Y14" i="1"/>
  <c r="Y43" i="1"/>
  <c r="Y27" i="1"/>
  <c r="Y63" i="1"/>
  <c r="Y10" i="1"/>
  <c r="Y37" i="1"/>
  <c r="Y36" i="1"/>
  <c r="Y19" i="1"/>
  <c r="Y48" i="1"/>
  <c r="Y16" i="1"/>
  <c r="Y20" i="1"/>
  <c r="Y69" i="1"/>
  <c r="Y75" i="1"/>
  <c r="M71" i="1"/>
  <c r="M72" i="1" l="1"/>
  <c r="M73" i="1" l="1"/>
  <c r="M74" i="1" l="1"/>
  <c r="M75" i="1" s="1"/>
  <c r="M76" i="1" l="1"/>
  <c r="Z76" i="1" s="1"/>
  <c r="Z2" i="1"/>
  <c r="Z27" i="1"/>
  <c r="Z64" i="1"/>
  <c r="Z13" i="1"/>
  <c r="Z24" i="1"/>
  <c r="Z46" i="1"/>
  <c r="Z17" i="1"/>
  <c r="Z41" i="1"/>
  <c r="Z56" i="1"/>
  <c r="Z53" i="1"/>
  <c r="Z49" i="1"/>
  <c r="Z25" i="1"/>
  <c r="Z14" i="1"/>
  <c r="Z61" i="1"/>
  <c r="Z52" i="1"/>
  <c r="Z54" i="1"/>
  <c r="Z37" i="1"/>
  <c r="Z62" i="1"/>
  <c r="Z16" i="1"/>
  <c r="Z43" i="1"/>
  <c r="Z19" i="1"/>
  <c r="Z68" i="1"/>
  <c r="Z34" i="1"/>
  <c r="Z55" i="1"/>
  <c r="Z44" i="1"/>
  <c r="Z63" i="1"/>
  <c r="Z10" i="1"/>
  <c r="Z65" i="1"/>
  <c r="Z7" i="1"/>
  <c r="Z22" i="1"/>
  <c r="Z3" i="1"/>
  <c r="Z40" i="1"/>
  <c r="Z69" i="1"/>
  <c r="Z58" i="1"/>
  <c r="Z31" i="1"/>
  <c r="Z72" i="1"/>
  <c r="Z74" i="1"/>
  <c r="Z51" i="1" l="1"/>
  <c r="Z71" i="1"/>
  <c r="Z12" i="1"/>
  <c r="Z73" i="1"/>
  <c r="Z70" i="1"/>
  <c r="Z47" i="1"/>
  <c r="Z18" i="1"/>
  <c r="Z8" i="1"/>
  <c r="Z45" i="1"/>
  <c r="Z15" i="1"/>
  <c r="Z35" i="1"/>
  <c r="Z5" i="1"/>
  <c r="Z20" i="1"/>
  <c r="Z67" i="1"/>
  <c r="Z9" i="1"/>
  <c r="Z39" i="1"/>
  <c r="Z11" i="1"/>
  <c r="Z30" i="1"/>
  <c r="Z60" i="1"/>
  <c r="Z28" i="1"/>
  <c r="Z42" i="1"/>
  <c r="Z59" i="1"/>
  <c r="Z23" i="1"/>
  <c r="Z50" i="1"/>
  <c r="Z57" i="1"/>
  <c r="Z33" i="1"/>
  <c r="Z38" i="1"/>
  <c r="Z66" i="1"/>
  <c r="Z29" i="1"/>
  <c r="Z36" i="1"/>
  <c r="Z32" i="1"/>
  <c r="Z26" i="1"/>
  <c r="Z4" i="1"/>
  <c r="Z6" i="1"/>
  <c r="Z21" i="1"/>
  <c r="Z48" i="1"/>
  <c r="Z75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<sst xmlns="http://schemas.openxmlformats.org/spreadsheetml/2006/main" count="883" uniqueCount="537">
  <si>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</si>
  <si>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</si>
  <si>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</si>
  <si>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</si>
  <si>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</si>
  <si>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</si>
  <si>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</si>
  <si>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</si>
  <si>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</si>
  <si>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</si>
  <si>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</si>
  <si>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</si>
  <si>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</si>
  <si>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</si>
  <si>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</si>
  <si>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</si>
  <si>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</si>
  <si>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</si>
  <si>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</si>
  <si>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</si>
  <si>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</si>
  <si>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</si>
  <si>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</si>
  <si>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</si>
  <si>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</si>
  <si>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</si>
  <si>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</si>
  <si>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</si>
  <si>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</si>
  <si>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</si>
  <si>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</si>
  <si>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</si>
  <si>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</si>
  <si>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</si>
  <si>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</si>
  <si>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</si>
  <si>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</si>
  <si>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</si>
  <si>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</si>
  <si>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</si>
  <si>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</si>
  <si>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</si>
  <si>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</si>
  <si>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</si>
  <si>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</si>
  <si>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</si>
  <si>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</si>
  <si>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</si>
  <si>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</si>
  <si>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</si>
  <si>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</si>
  <si>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</si>
  <si>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</si>
  <si>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</si>
  <si>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</si>
  <si>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</si>
  <si>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</si>
  <si>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</si>
  <si>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</si>
  <si>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</si>
  <si>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</si>
  <si>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</si>
  <si>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</si>
  <si>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</si>
  <si>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</si>
  <si>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</si>
  <si>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</si>
  <si>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</si>
  <si>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</si>
  <si>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</si>
  <si>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</si>
  <si>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</si>
  <si>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</si>
  <si>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</si>
  <si>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</si>
  <si>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</si>
  <si>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</si>
  <si>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</si>
  <si>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</si>
  <si>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</si>
  <si>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</si>
  <si>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</si>
  <si>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</si>
  <si>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</si>
  <si>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</si>
  <si>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</si>
  <si>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</si>
  <si>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</si>
  <si>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</si>
  <si>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</si>
  <si>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</si>
  <si>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</si>
  <si>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</si>
  <si>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</si>
  <si>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</si>
  <si>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</si>
  <si>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</si>
  <si>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</si>
  <si>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</si>
  <si>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</si>
  <si>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</si>
  <si>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</si>
  <si>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</si>
  <si>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</si>
  <si>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</si>
  <si>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</si>
  <si>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</si>
  <si>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</si>
  <si>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</si>
  <si>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</si>
  <si>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</si>
  <si>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</si>
  <si>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</si>
  <si>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</si>
  <si>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</si>
  <si>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</si>
  <si>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</si>
  <si>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</si>
  <si>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</si>
  <si>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</si>
  <si>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</si>
  <si>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</si>
  <si>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</si>
  <si>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</si>
  <si>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</si>
  <si>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</si>
  <si>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</si>
  <si>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</si>
  <si>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</si>
  <si>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</si>
  <si>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</si>
  <si>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</si>
  <si>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</si>
  <si>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</si>
  <si>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</si>
  <si>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</si>
  <si>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</si>
  <si>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</si>
  <si>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</si>
  <si>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</si>
  <si>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</si>
  <si>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</si>
  <si>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</si>
  <si>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</si>
  <si>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</si>
  <si>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</si>
  <si>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</si>
  <si>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</si>
  <si>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</si>
  <si>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</si>
  <si>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</si>
  <si>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</si>
  <si>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</si>
  <si>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</si>
  <si>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</si>
  <si>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</si>
  <si>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</si>
  <si>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</si>
  <si>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</si>
  <si>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</si>
  <si>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</si>
  <si>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</si>
  <si>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</si>
  <si>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</si>
  <si>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</si>
  <si>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</si>
  <si>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</si>
  <si>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</si>
  <si>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</si>
  <si>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</si>
  <si>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</si>
  <si>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</si>
  <si>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</si>
  <si>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</si>
  <si>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</si>
  <si>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</si>
  <si>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</si>
  <si>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</si>
  <si>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</si>
  <si>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</si>
  <si>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</si>
  <si>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</si>
  <si>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</si>
  <si>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</si>
  <si>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</si>
  <si>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</si>
  <si>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</si>
  <si>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</si>
  <si>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</si>
  <si>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</si>
  <si>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</si>
  <si>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</si>
  <si>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</si>
  <si>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</si>
  <si>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</si>
  <si>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</si>
  <si>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</si>
  <si>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</si>
  <si>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</si>
  <si>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</si>
  <si>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</si>
  <si>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</si>
  <si>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</si>
  <si>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</si>
  <si>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</si>
  <si>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</si>
  <si>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</si>
  <si>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</si>
  <si>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</si>
  <si>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</si>
  <si>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</si>
  <si>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</si>
  <si>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</si>
  <si>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</si>
  <si>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</si>
  <si>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</si>
  <si>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</si>
  <si>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</si>
  <si>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</si>
  <si>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</si>
  <si>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</si>
  <si>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</si>
  <si>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</si>
  <si>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</si>
  <si>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</si>
  <si>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</si>
  <si>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</si>
  <si>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</si>
  <si>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</si>
  <si>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</si>
  <si>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</si>
  <si>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</si>
  <si>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</si>
  <si>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</si>
  <si>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</si>
  <si>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</si>
  <si>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</si>
  <si>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</si>
  <si>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</si>
  <si>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</si>
  <si>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</si>
  <si>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</si>
  <si>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</si>
  <si>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</si>
  <si>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</si>
  <si>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</si>
  <si>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</si>
  <si>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</si>
  <si>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</si>
  <si>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</si>
  <si>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</si>
  <si>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</si>
  <si>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</si>
  <si>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</si>
  <si>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</si>
  <si>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</si>
  <si>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</si>
  <si>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</si>
  <si>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</si>
  <si>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</si>
  <si>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</si>
  <si>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</si>
  <si>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</si>
  <si>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</si>
  <si>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</si>
  <si>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</si>
  <si>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</si>
  <si>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</si>
  <si>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</si>
  <si>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</si>
  <si>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</si>
  <si>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</si>
  <si>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</si>
  <si>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</si>
  <si>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</si>
  <si>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</si>
  <si>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</si>
  <si>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</si>
  <si>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</si>
  <si>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</si>
  <si>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</si>
  <si>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</si>
  <si>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</si>
  <si>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</si>
  <si>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</si>
  <si>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</si>
  <si>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</si>
  <si>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</si>
  <si>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</si>
  <si>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</si>
  <si>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</si>
  <si>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</si>
  <si>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</si>
  <si>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</si>
  <si>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</si>
  <si>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</si>
  <si>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</si>
  <si>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</si>
  <si>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</si>
  <si>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</si>
  <si>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</si>
  <si>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</si>
  <si>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</si>
  <si>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</si>
  <si>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</si>
  <si>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</si>
  <si>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</si>
  <si>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</si>
  <si>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</si>
  <si>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</si>
  <si>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</si>
  <si>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</si>
  <si>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</si>
  <si>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</si>
  <si>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</si>
  <si>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</si>
  <si>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</si>
  <si>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</si>
  <si>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</si>
  <si>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</si>
  <si>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</si>
  <si>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</si>
  <si>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</si>
  <si>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</si>
  <si>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</si>
  <si>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</si>
  <si>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</si>
  <si>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</si>
  <si>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</si>
  <si>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</si>
  <si>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</si>
  <si>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</si>
  <si>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</si>
  <si>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</si>
  <si>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</si>
  <si>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</si>
  <si>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</si>
  <si>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</si>
  <si>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</si>
  <si>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</si>
  <si>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</si>
  <si>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</si>
  <si>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</si>
  <si>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</si>
  <si>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</si>
  <si>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</si>
  <si>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</si>
  <si>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</si>
  <si>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</si>
  <si>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</si>
  <si>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</si>
  <si>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</si>
  <si>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</si>
  <si>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</si>
  <si>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</si>
  <si>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</si>
  <si>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</si>
  <si>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</si>
  <si>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</si>
  <si>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</si>
  <si>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</si>
  <si>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</si>
  <si>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</si>
  <si>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</si>
  <si>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</si>
  <si>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</si>
  <si>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</si>
  <si>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</si>
  <si>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</si>
  <si>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</si>
  <si>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</si>
  <si>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</si>
  <si>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</si>
  <si>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</si>
  <si>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</si>
  <si>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</si>
  <si>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</si>
  <si>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</si>
  <si>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</si>
  <si>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</si>
  <si>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</si>
  <si>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</si>
  <si>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</si>
  <si>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</si>
  <si>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</si>
  <si>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</si>
  <si>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</si>
  <si>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</si>
  <si>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</si>
  <si>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</si>
  <si>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</si>
  <si>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</si>
  <si>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</si>
  <si>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</si>
  <si>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</si>
  <si>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</si>
  <si>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</si>
  <si>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</si>
  <si>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</si>
  <si>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</si>
  <si>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</si>
  <si>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</si>
  <si>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</si>
  <si>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</si>
  <si>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</si>
  <si>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</si>
  <si>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</si>
  <si>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</si>
  <si>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</si>
  <si>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</si>
  <si>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</si>
  <si>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</si>
  <si>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</si>
  <si>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</si>
  <si>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</si>
  <si>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</si>
  <si>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</si>
  <si>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</si>
  <si>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</si>
  <si>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</si>
  <si>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</si>
  <si>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</si>
  <si>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</si>
  <si>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</si>
  <si>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</si>
  <si>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</si>
  <si>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</si>
  <si>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</si>
  <si>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</si>
  <si>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</si>
  <si>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</si>
  <si>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</si>
  <si>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</si>
  <si>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</si>
  <si>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</si>
  <si>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</si>
  <si>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</si>
  <si>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</si>
  <si>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</si>
  <si>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</si>
  <si>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</si>
  <si>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</si>
  <si>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</si>
  <si>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</si>
  <si>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</si>
  <si>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</si>
  <si>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</si>
  <si>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</si>
  <si>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</si>
  <si>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</si>
  <si>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</si>
  <si>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</si>
  <si>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</si>
  <si>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</si>
  <si>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</si>
  <si>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</si>
  <si>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</si>
  <si>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</si>
  <si>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</si>
  <si>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</si>
  <si>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</si>
  <si>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</si>
  <si>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</si>
  <si>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</si>
  <si>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</si>
  <si>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</si>
  <si>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</si>
  <si>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</si>
  <si>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</si>
  <si>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</si>
  <si>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</si>
  <si>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</si>
  <si>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</si>
  <si>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</si>
  <si>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</si>
  <si>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</si>
  <si>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</si>
  <si>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</si>
  <si>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</si>
  <si>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</si>
  <si>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</si>
  <si>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</si>
  <si>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</si>
  <si>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</si>
  <si>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</si>
  <si>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</si>
  <si>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</si>
  <si>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</si>
  <si>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</si>
  <si>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</si>
  <si>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</si>
  <si>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</si>
  <si>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</si>
  <si>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</si>
  <si>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</si>
  <si>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</si>
  <si>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</si>
  <si>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</si>
  <si>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</si>
  <si>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</si>
  <si>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</si>
  <si>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</si>
  <si>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</si>
  <si>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</si>
  <si>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</si>
  <si>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</si>
  <si>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</si>
  <si>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</si>
  <si>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</si>
  <si>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</si>
  <si>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</si>
  <si>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</si>
  <si>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</si>
  <si>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</si>
  <si>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</si>
  <si>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</si>
  <si>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</si>
  <si>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</si>
  <si>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</si>
  <si>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</si>
  <si>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</si>
  <si>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</si>
  <si>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</si>
  <si>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Правый</t>
  </si>
  <si>
    <t>Pilot 150</t>
  </si>
  <si>
    <t xml:space="preserve">1) Контроль места пункции, повязка  на руке до 6 ч. </t>
  </si>
  <si>
    <t>50 ml</t>
  </si>
  <si>
    <t>20 ml</t>
  </si>
  <si>
    <t>Ищенко Е.П.</t>
  </si>
  <si>
    <t>13:48</t>
  </si>
  <si>
    <t xml:space="preserve">проходим, контуры ровные </t>
  </si>
  <si>
    <t>стеноз проксимального сегмента 30%, на границе проксимального и среднего сегментов стеноз 50%. Антеградный кровоток  TIMI III.</t>
  </si>
  <si>
    <t>проходим, контуры ровные.  Антеградный кровоток  TIMI III.</t>
  </si>
  <si>
    <t>извилистый ход артерии. Определяется стеноз проксимального сегмента 40%, стеноз среднего сегмента 50%, неровности контуров дистального сегмента, стеноз устья и прокс/3 ЗМЖВ до 50%, окклюзия устья ЗБВ. Антеградный кровоток по ЗБВ - TIMI 0. Антеградный кровоток по ЗМЖВ -  TIMI III.</t>
  </si>
  <si>
    <t>С учётом клиники, данных каг и коронарографии совместно с д/кардиологом принято решение в пользу реканализации ЗБВ бассейна ПКА в экстренном порядке.</t>
  </si>
  <si>
    <t>100 ml</t>
  </si>
  <si>
    <t>Устье ПКА катетеризировано проводниковым катетером Launcher JR 3.5 6Fr. Коронарный проводник fielder (1 шт) проведен в дистальный сегмент ЗБВ. Из-за характера анатомии ПКА с техническими сложностями БК Колибри 2.0 - 15 удалось завести в зону окклюзии ЗБВ.   Выполнена ангиопластика устья ЗБВ, дилатация дважды давлением 18 атм, инфляция по 1 мин.  На контрольных съемках определяется резидуальный стеноз менее 50%, кровоток не лимитирующая диссекция - типа А, устье ЗМЖВ не скомпрометировано. Учитывая оптимальный результат ангиопластики, сложной бифуркации и высокой вероятности применения 2-х стентовой методики, а также неблагоприятной анатомии коронарной артрии (извилистый ход ПКА)  от стентирования решено воздержаться. (высокий риск неудачи!). Т.к определяется локальная диссекция тип - А принято решение о консервативной стратегии - в пользу ведения эптифибатида внутривенно болюсно в дозе 180 мкг/кг  (1 флакон) с последующей инфузией капельно в течении 15 ч. На заключительных контрольных съёмках  ангиографический результат удовлетворительный. Антеградный кровоток по  ЗБВ востановлен - TIMI III.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</si>
</sst>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0" borderId="12" xfId="0" applyFill="1" applyBorder="1"/>
    <xf numFmtId="0" fontId="16" fillId="0" borderId="13" xfId="0" applyFont="1" applyBorder="1"/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97647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0</xdr:row>
      <xdr:rowOff>114300</xdr:rowOff>
    </xdr:from>
    <xdr:to>
      <xdr:col>7</xdr:col>
      <xdr:colOff>1019175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48</xdr:row>
      <xdr:rowOff>171450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5906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6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8"/>
  <sheetViews>
    <sheetView showGridLines="0" tabSelected="1" showWhiteSpace="0" topLeftCell="A4" zoomScaleNormal="100" zoomScaleSheetLayoutView="100" zoomScalePageLayoutView="90" workbookViewId="0">
      <selection activeCell="I41" sqref="I41"/>
    </sheetView>
  </sheetViews>
  <sheetFormatPr defaultColWidth="0" defaultRowHeight="15" zeroHeight="1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style="209" customWidth="1"/>
    <col min="10" max="10" width="7.28515625" style="209" customWidth="1"/>
    <col min="11" max="13" width="0" style="209" hidden="1" customWidth="1"/>
    <col min="14" max="16384" width="8.85546875" style="209" hidden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20" t="s">
        <v>213</v>
      </c>
      <c r="B6" s="221"/>
      <c r="C6" s="221"/>
      <c r="D6" s="221"/>
      <c r="E6" s="221"/>
      <c r="F6" s="221"/>
      <c r="G6" s="221"/>
      <c r="H6" s="222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45591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5.9027777777777783E-2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6.3888888888888884E-2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03" t="s">
        <v>528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19783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70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30379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529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6" t="s">
        <v>401</v>
      </c>
      <c r="H16" s="164">
        <v>3170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6.0229999999999997</v>
      </c>
    </row>
    <row r="18" spans="1:8" ht="14.45" customHeight="1">
      <c r="A18" s="57" t="s">
        <v>188</v>
      </c>
      <c r="B18" s="87" t="s">
        <v>523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5" t="s">
        <v>530</v>
      </c>
      <c r="C20" s="250"/>
      <c r="D20" s="250"/>
      <c r="E20" s="250"/>
      <c r="F20" s="250"/>
      <c r="G20" s="250"/>
      <c r="H20" s="251"/>
    </row>
    <row r="21" spans="1:8">
      <c r="A21" s="58"/>
      <c r="B21" s="252"/>
      <c r="C21" s="252"/>
      <c r="D21" s="252"/>
      <c r="E21" s="252"/>
      <c r="F21" s="252"/>
      <c r="G21" s="252"/>
      <c r="H21" s="253"/>
    </row>
    <row r="22" spans="1:8" ht="15.6" customHeight="1">
      <c r="A22" s="59" t="s">
        <v>271</v>
      </c>
      <c r="B22" s="223" t="s">
        <v>531</v>
      </c>
      <c r="C22" s="223"/>
      <c r="D22" s="223"/>
      <c r="E22" s="223"/>
      <c r="F22" s="223"/>
      <c r="G22" s="223"/>
      <c r="H22" s="224"/>
    </row>
    <row r="23" spans="1:8" ht="14.45" customHeight="1">
      <c r="A23" s="38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60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38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40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59" t="s">
        <v>272</v>
      </c>
      <c r="B27" s="223" t="s">
        <v>532</v>
      </c>
      <c r="C27" s="223"/>
      <c r="D27" s="223"/>
      <c r="E27" s="223"/>
      <c r="F27" s="223"/>
      <c r="G27" s="223"/>
      <c r="H27" s="224"/>
    </row>
    <row r="28" spans="1:8" ht="15.6" customHeight="1">
      <c r="A28" s="38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38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3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33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59" t="s">
        <v>273</v>
      </c>
      <c r="B32" s="223" t="s">
        <v>533</v>
      </c>
      <c r="C32" s="223"/>
      <c r="D32" s="223"/>
      <c r="E32" s="223"/>
      <c r="F32" s="223"/>
      <c r="G32" s="223"/>
      <c r="H32" s="224"/>
    </row>
    <row r="33" spans="1:8" ht="14.45" customHeight="1">
      <c r="A33" s="38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38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38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16" t="str">
        <f>IF($A$6=Вмешательства!$D$3,Вмешательства!$F$18,"")</f>
        <v/>
      </c>
      <c r="E37" s="216"/>
      <c r="F37" s="119"/>
      <c r="G37" s="119"/>
      <c r="H37" s="123"/>
    </row>
    <row r="38" spans="1:8" ht="14.45" customHeight="1">
      <c r="A38" s="38"/>
      <c r="C38" s="124"/>
      <c r="D38" s="217"/>
      <c r="E38" s="218"/>
      <c r="F38" s="218"/>
      <c r="G38" s="218"/>
      <c r="H38" s="219"/>
    </row>
    <row r="39" spans="1:8" ht="14.45" customHeight="1">
      <c r="A39" s="35"/>
      <c r="B39" s="119"/>
      <c r="C39" s="124"/>
      <c r="D39" s="218"/>
      <c r="E39" s="218"/>
      <c r="F39" s="218"/>
      <c r="G39" s="218"/>
      <c r="H39" s="219"/>
    </row>
    <row r="40" spans="1:8" ht="14.45" customHeight="1">
      <c r="A40" s="35"/>
      <c r="B40" s="119"/>
      <c r="C40" s="124"/>
      <c r="D40" s="218"/>
      <c r="E40" s="218"/>
      <c r="F40" s="218"/>
      <c r="G40" s="218"/>
      <c r="H40" s="219"/>
    </row>
    <row r="41" spans="1:8" ht="14.45" customHeight="1">
      <c r="A41" s="35"/>
      <c r="B41" s="119"/>
      <c r="C41" s="124"/>
      <c r="D41" s="218"/>
      <c r="E41" s="218"/>
      <c r="F41" s="218"/>
      <c r="G41" s="218"/>
      <c r="H41" s="219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3" t="s">
        <v>534</v>
      </c>
      <c r="E43" s="214"/>
      <c r="F43" s="214"/>
      <c r="G43" s="214"/>
      <c r="H43" s="215"/>
    </row>
    <row r="44" spans="1:8" ht="14.45" customHeight="1">
      <c r="A44" s="35"/>
      <c r="B44" s="119"/>
      <c r="C44" s="126"/>
      <c r="D44" s="214"/>
      <c r="E44" s="214"/>
      <c r="F44" s="214"/>
      <c r="G44" s="214"/>
      <c r="H44" s="215"/>
    </row>
    <row r="45" spans="1:8" ht="14.45" customHeight="1">
      <c r="A45" s="35"/>
      <c r="B45" s="119"/>
      <c r="C45" s="126"/>
      <c r="D45" s="214"/>
      <c r="E45" s="214"/>
      <c r="F45" s="214"/>
      <c r="G45" s="214"/>
      <c r="H45" s="215"/>
    </row>
    <row r="46" spans="1:8">
      <c r="A46" s="35"/>
      <c r="B46" s="119"/>
      <c r="C46" s="126"/>
      <c r="D46" s="214"/>
      <c r="E46" s="214"/>
      <c r="F46" s="214"/>
      <c r="G46" s="214"/>
      <c r="H46" s="215"/>
    </row>
    <row r="47" spans="1:8">
      <c r="A47" s="38"/>
      <c r="C47" s="126"/>
      <c r="D47" s="214"/>
      <c r="E47" s="214"/>
      <c r="F47" s="214"/>
      <c r="G47" s="214"/>
      <c r="H47" s="215"/>
    </row>
    <row r="48" spans="1:8">
      <c r="A48" s="38"/>
      <c r="C48" s="126"/>
      <c r="D48" s="214"/>
      <c r="E48" s="214"/>
      <c r="F48" s="214"/>
      <c r="G48" s="214"/>
      <c r="H48" s="215"/>
    </row>
    <row r="49" spans="1:13">
      <c r="A49" s="38"/>
      <c r="B49" s="205"/>
      <c r="C49" s="206"/>
      <c r="D49" s="214"/>
      <c r="E49" s="214"/>
      <c r="F49" s="214"/>
      <c r="G49" s="214"/>
      <c r="H49" s="215"/>
    </row>
    <row r="50" spans="1:13">
      <c r="A50" s="38"/>
      <c r="D50" s="214"/>
      <c r="E50" s="214"/>
      <c r="F50" s="214"/>
      <c r="G50" s="214"/>
      <c r="H50" s="215"/>
      <c r="M50" s="209" t="s">
        <v>211</v>
      </c>
    </row>
    <row r="51" spans="1:13">
      <c r="A51" s="62" t="s">
        <v>199</v>
      </c>
      <c r="B51" s="63" t="s">
        <v>526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  <row r="55" spans="1:13">
      <c r="A55" s="209"/>
      <c r="B55" s="209"/>
      <c r="C55" s="209"/>
      <c r="D55" s="209"/>
      <c r="E55" s="209"/>
      <c r="F55" s="209"/>
      <c r="G55" s="209"/>
      <c r="H55" s="209"/>
    </row>
    <row r="56" spans="1:13">
      <c r="A56" s="209"/>
      <c r="B56" s="209"/>
      <c r="C56" s="209"/>
      <c r="D56" s="209"/>
      <c r="E56" s="209"/>
      <c r="F56" s="209"/>
      <c r="G56" s="209"/>
      <c r="H56" s="209"/>
    </row>
    <row r="57" spans="1:13">
      <c r="A57" s="209"/>
      <c r="B57" s="209"/>
      <c r="C57" s="209"/>
      <c r="D57" s="209"/>
      <c r="E57" s="209"/>
      <c r="F57" s="209"/>
      <c r="G57" s="209"/>
      <c r="H57" s="209"/>
    </row>
    <row r="58" spans="1:13">
      <c r="A58" s="209"/>
      <c r="B58" s="209"/>
      <c r="C58" s="209"/>
      <c r="D58" s="209"/>
      <c r="E58" s="209"/>
      <c r="F58" s="209"/>
      <c r="G58" s="209"/>
      <c r="H58" s="209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9"/>
  <sheetViews>
    <sheetView showGridLines="0" showWhiteSpace="0" topLeftCell="A7" zoomScaleNormal="100" zoomScaleSheetLayoutView="100" zoomScalePageLayoutView="90" workbookViewId="0">
      <selection activeCell="J26" sqref="J26"/>
    </sheetView>
  </sheetViews>
  <sheetFormatPr defaultColWidth="0" defaultRowHeight="15" zeroHeight="1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style="209" customWidth="1"/>
    <col min="10" max="10" width="7.28515625" style="209" customWidth="1"/>
    <col min="11" max="12" width="0" hidden="1" customWidth="1"/>
    <col min="13" max="16384" width="8.85546875" hidden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9" t="s">
        <v>400</v>
      </c>
      <c r="B6" s="240"/>
      <c r="C6" s="240"/>
      <c r="D6" s="240"/>
      <c r="E6" s="240"/>
      <c r="F6" s="240"/>
      <c r="G6" s="240"/>
      <c r="H6" s="241"/>
    </row>
    <row r="7" spans="1:8" ht="21.6" customHeight="1">
      <c r="A7" s="239"/>
      <c r="B7" s="240"/>
      <c r="C7" s="240"/>
      <c r="D7" s="240"/>
      <c r="E7" s="240"/>
      <c r="F7" s="240"/>
      <c r="G7" s="240"/>
      <c r="H7" s="241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C8" s="238" t="s">
        <v>216</v>
      </c>
      <c r="D8" s="238"/>
      <c r="E8" s="238"/>
      <c r="F8" s="190"/>
      <c r="G8" s="118"/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8"/>
      <c r="D9" s="238"/>
      <c r="E9" s="238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9"/>
      <c r="C10" s="242"/>
      <c r="D10" s="242"/>
      <c r="E10" s="242"/>
      <c r="F10" s="193"/>
      <c r="G10" s="118"/>
      <c r="H10" s="39"/>
    </row>
    <row r="11" spans="1:8">
      <c r="A11" s="192"/>
      <c r="B11" s="196"/>
      <c r="C11" s="199">
        <f>SUM(F8:F10)</f>
        <v>0</v>
      </c>
      <c r="H11" s="39"/>
    </row>
    <row r="12" spans="1:8" ht="18.75">
      <c r="A12" s="75" t="s">
        <v>191</v>
      </c>
      <c r="B12" s="20">
        <f>КАГ!B8</f>
        <v>45591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6.3888888888888884E-2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0.10069444444444443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3.680555555555555E-2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Ищенко Е.П.</v>
      </c>
      <c r="C16" s="200">
        <f>LEN(КАГ!B11)</f>
        <v>11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19783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70</v>
      </c>
      <c r="H18" s="39"/>
    </row>
    <row r="19" spans="1:8" ht="14.45" customHeight="1">
      <c r="A19" s="15" t="s">
        <v>12</v>
      </c>
      <c r="B19" s="68">
        <f>КАГ!B14</f>
        <v>30379</v>
      </c>
      <c r="C19" s="69"/>
      <c r="D19" s="69"/>
      <c r="E19" s="69"/>
      <c r="F19" s="69"/>
      <c r="G19" s="165" t="s">
        <v>399</v>
      </c>
      <c r="H19" s="180" t="str">
        <f>КАГ!H15</f>
        <v>13:48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3170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7" t="s">
        <v>388</v>
      </c>
      <c r="H21" s="168">
        <f>КАГ!H17</f>
        <v>6.0229999999999997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>Реканализация:</v>
      </c>
      <c r="H22" s="185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6.5972222222222224E-2</v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6" t="s">
        <v>536</v>
      </c>
      <c r="B25" s="247"/>
      <c r="C25" s="247"/>
      <c r="D25" s="247"/>
      <c r="E25" s="247"/>
      <c r="F25" s="247"/>
      <c r="G25" s="247"/>
      <c r="H25" s="248"/>
    </row>
    <row r="26" spans="1:8" ht="14.45" customHeight="1">
      <c r="A26" s="249"/>
      <c r="B26" s="247"/>
      <c r="C26" s="247"/>
      <c r="D26" s="247"/>
      <c r="E26" s="247"/>
      <c r="F26" s="247"/>
      <c r="G26" s="247"/>
      <c r="H26" s="248"/>
    </row>
    <row r="27" spans="1:8" ht="14.45" customHeight="1">
      <c r="A27" s="249"/>
      <c r="B27" s="247"/>
      <c r="C27" s="247"/>
      <c r="D27" s="247"/>
      <c r="E27" s="247"/>
      <c r="F27" s="247"/>
      <c r="G27" s="247"/>
      <c r="H27" s="248"/>
    </row>
    <row r="28" spans="1:8" ht="14.45" customHeight="1">
      <c r="A28" s="249"/>
      <c r="B28" s="247"/>
      <c r="C28" s="247"/>
      <c r="D28" s="247"/>
      <c r="E28" s="247"/>
      <c r="F28" s="247"/>
      <c r="G28" s="247"/>
      <c r="H28" s="248"/>
    </row>
    <row r="29" spans="1:8" ht="14.45" customHeight="1">
      <c r="A29" s="249"/>
      <c r="B29" s="247"/>
      <c r="C29" s="247"/>
      <c r="D29" s="247"/>
      <c r="E29" s="247"/>
      <c r="F29" s="247"/>
      <c r="G29" s="247"/>
      <c r="H29" s="248"/>
    </row>
    <row r="30" spans="1:8" ht="14.45" customHeight="1">
      <c r="A30" s="249"/>
      <c r="B30" s="247"/>
      <c r="C30" s="247"/>
      <c r="D30" s="247"/>
      <c r="E30" s="247"/>
      <c r="F30" s="247"/>
      <c r="G30" s="247"/>
      <c r="H30" s="248"/>
    </row>
    <row r="31" spans="1:8" ht="14.45" customHeight="1">
      <c r="A31" s="249"/>
      <c r="B31" s="247"/>
      <c r="C31" s="247"/>
      <c r="D31" s="247"/>
      <c r="E31" s="247"/>
      <c r="F31" s="247"/>
      <c r="G31" s="247"/>
      <c r="H31" s="248"/>
    </row>
    <row r="32" spans="1:8" ht="14.45" customHeight="1">
      <c r="A32" s="249"/>
      <c r="B32" s="247"/>
      <c r="C32" s="247"/>
      <c r="D32" s="247"/>
      <c r="E32" s="247"/>
      <c r="F32" s="247"/>
      <c r="G32" s="247"/>
      <c r="H32" s="248"/>
    </row>
    <row r="33" spans="1:12" ht="14.45" customHeight="1">
      <c r="A33" s="249"/>
      <c r="B33" s="247"/>
      <c r="C33" s="247"/>
      <c r="D33" s="247"/>
      <c r="E33" s="247"/>
      <c r="F33" s="247"/>
      <c r="G33" s="247"/>
      <c r="H33" s="248"/>
    </row>
    <row r="34" spans="1:12" ht="14.45" customHeight="1">
      <c r="A34" s="249"/>
      <c r="B34" s="247"/>
      <c r="C34" s="247"/>
      <c r="D34" s="247"/>
      <c r="E34" s="247"/>
      <c r="F34" s="247"/>
      <c r="G34" s="247"/>
      <c r="H34" s="248"/>
    </row>
    <row r="35" spans="1:12" ht="14.45" customHeight="1">
      <c r="A35" s="249"/>
      <c r="B35" s="247"/>
      <c r="C35" s="247"/>
      <c r="D35" s="247"/>
      <c r="E35" s="247"/>
      <c r="F35" s="247"/>
      <c r="G35" s="247"/>
      <c r="H35" s="248"/>
    </row>
    <row r="36" spans="1:12" ht="14.45" customHeight="1">
      <c r="A36" s="249"/>
      <c r="B36" s="247"/>
      <c r="C36" s="247"/>
      <c r="D36" s="247"/>
      <c r="E36" s="247"/>
      <c r="F36" s="247"/>
      <c r="G36" s="247"/>
      <c r="H36" s="248"/>
    </row>
    <row r="37" spans="1:12" ht="14.45" customHeight="1">
      <c r="A37" s="249"/>
      <c r="B37" s="247"/>
      <c r="C37" s="247"/>
      <c r="D37" s="247"/>
      <c r="E37" s="247"/>
      <c r="F37" s="247"/>
      <c r="G37" s="247"/>
      <c r="H37" s="248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-----</v>
      </c>
      <c r="F38" s="176"/>
      <c r="G38" s="179"/>
      <c r="H38" s="212"/>
      <c r="I38" s="211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527</v>
      </c>
      <c r="C40" s="120"/>
      <c r="D40" s="243" t="s">
        <v>525</v>
      </c>
      <c r="E40" s="244"/>
      <c r="F40" s="244"/>
      <c r="G40" s="244"/>
      <c r="H40" s="245"/>
    </row>
    <row r="41" spans="1:12" ht="14.45" customHeight="1">
      <c r="A41" s="32"/>
      <c r="B41" s="28"/>
      <c r="C41" s="120"/>
      <c r="D41" s="244"/>
      <c r="E41" s="244"/>
      <c r="F41" s="244"/>
      <c r="G41" s="244"/>
      <c r="H41" s="245"/>
    </row>
    <row r="42" spans="1:12" ht="14.45" customHeight="1">
      <c r="A42" s="32"/>
      <c r="B42" s="28"/>
      <c r="C42" s="120"/>
      <c r="D42" s="244"/>
      <c r="E42" s="244"/>
      <c r="F42" s="244"/>
      <c r="G42" s="244"/>
      <c r="H42" s="245"/>
    </row>
    <row r="43" spans="1:12" ht="14.45" customHeight="1">
      <c r="A43" s="32"/>
      <c r="B43" s="28"/>
      <c r="C43" s="120"/>
      <c r="D43" s="244"/>
      <c r="E43" s="244"/>
      <c r="F43" s="244"/>
      <c r="G43" s="244"/>
      <c r="H43" s="245"/>
    </row>
    <row r="44" spans="1:12" ht="14.45" customHeight="1">
      <c r="A44" s="32"/>
      <c r="B44" s="28"/>
      <c r="C44" s="120"/>
      <c r="D44" s="244"/>
      <c r="E44" s="244"/>
      <c r="F44" s="244"/>
      <c r="G44" s="244"/>
      <c r="H44" s="245"/>
      <c r="L44" s="160"/>
    </row>
    <row r="45" spans="1:12" ht="14.45" customHeight="1">
      <c r="A45" s="32"/>
      <c r="B45" s="28"/>
      <c r="C45" s="120"/>
      <c r="D45" s="244"/>
      <c r="E45" s="244"/>
      <c r="F45" s="244"/>
      <c r="G45" s="244"/>
      <c r="H45" s="245"/>
    </row>
    <row r="46" spans="1:12" ht="14.45" customHeight="1">
      <c r="A46" s="32"/>
      <c r="B46" s="28"/>
      <c r="C46" s="120"/>
      <c r="D46" s="244"/>
      <c r="E46" s="244"/>
      <c r="F46" s="244"/>
      <c r="G46" s="244"/>
      <c r="H46" s="245"/>
    </row>
    <row r="47" spans="1:12" ht="14.45" customHeight="1">
      <c r="A47" s="38"/>
      <c r="C47" s="120"/>
      <c r="D47" s="244"/>
      <c r="E47" s="244"/>
      <c r="F47" s="244"/>
      <c r="G47" s="244"/>
      <c r="H47" s="245"/>
    </row>
    <row r="48" spans="1:12" ht="14.45" customHeight="1">
      <c r="A48" s="38"/>
      <c r="C48" s="120"/>
      <c r="D48" s="244"/>
      <c r="E48" s="244"/>
      <c r="F48" s="244"/>
      <c r="G48" s="244"/>
      <c r="H48" s="245"/>
    </row>
    <row r="49" spans="1:8" ht="14.45" customHeight="1">
      <c r="A49" s="38"/>
      <c r="C49" s="120"/>
      <c r="D49" s="244"/>
      <c r="E49" s="244"/>
      <c r="F49" s="244"/>
      <c r="G49" s="244"/>
      <c r="H49" s="245"/>
    </row>
    <row r="50" spans="1:8">
      <c r="A50" s="62" t="s">
        <v>199</v>
      </c>
      <c r="B50" s="63" t="s">
        <v>535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9" t="s">
        <v>371</v>
      </c>
      <c r="B52" s="230"/>
      <c r="C52" s="230"/>
      <c r="D52" s="230"/>
      <c r="E52" s="230"/>
      <c r="F52" s="231"/>
      <c r="H52" s="39"/>
    </row>
    <row r="53" spans="1:8" ht="15" customHeight="1">
      <c r="A53" s="232"/>
      <c r="B53" s="233"/>
      <c r="C53" s="233"/>
      <c r="D53" s="233"/>
      <c r="E53" s="233"/>
      <c r="F53" s="234"/>
      <c r="G53" s="74" t="str">
        <f>IF(ISBLANK(H13),"",H13)</f>
        <v/>
      </c>
      <c r="H53" s="64"/>
    </row>
    <row r="54" spans="1:8">
      <c r="A54" s="235"/>
      <c r="B54" s="236"/>
      <c r="C54" s="236"/>
      <c r="D54" s="236"/>
      <c r="E54" s="236"/>
      <c r="F54" s="237"/>
      <c r="G54" s="31"/>
      <c r="H54" s="41"/>
    </row>
    <row r="55" spans="1:8"/>
    <row r="56" spans="1:8">
      <c r="A56" s="209"/>
      <c r="B56" s="209"/>
      <c r="C56" s="209"/>
      <c r="D56" s="209"/>
      <c r="E56" s="209"/>
      <c r="F56" s="209"/>
      <c r="G56" s="209"/>
      <c r="H56" s="209"/>
    </row>
    <row r="57" spans="1:8">
      <c r="A57" s="209"/>
      <c r="B57" s="209"/>
      <c r="C57" s="209"/>
      <c r="D57" s="209"/>
      <c r="E57" s="209"/>
      <c r="F57" s="209"/>
      <c r="G57" s="209"/>
      <c r="H57" s="209"/>
    </row>
    <row r="58" spans="1:8">
      <c r="A58" s="209"/>
      <c r="B58" s="209"/>
      <c r="C58" s="209"/>
      <c r="D58" s="209"/>
      <c r="E58" s="209"/>
      <c r="F58" s="209"/>
      <c r="G58" s="209"/>
      <c r="H58" s="209"/>
    </row>
    <row r="59" spans="1:8">
      <c r="A59" s="209"/>
      <c r="B59" s="209"/>
      <c r="C59" s="209"/>
      <c r="D59" s="209"/>
      <c r="E59" s="209"/>
      <c r="F59" s="209"/>
      <c r="G59" s="209"/>
      <c r="H59" s="209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9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10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ровные 
Бассейн ПНА:   стеноз проксимального сегмента 30%, на границе проксимального и среднего сегментов стеноз 50%. Антеградный кровоток  TIMI III.
Бассейн  ОА:   проходим, контуры ровные.  Антеградный кровоток  TIMI III.
Бассейн ПКА:   извилистый ход артерии. Определяется стеноз проксимального сегмента 40%, стеноз среднего сегмента 50%, неровности контуров дистального сегмента, стеноз устья и прокс/3 ЗМЖВ до 50%, окклюзия устья ЗБВ. Антеградный кровоток по ЗБВ - TIMI 0. Антеградный кровоток по ЗМЖВ -  TIMI III.</v>
      </c>
    </row>
    <row r="4" spans="1:1">
      <c r="A4" s="209"/>
    </row>
    <row r="5" spans="1:1">
      <c r="A5" s="209"/>
    </row>
    <row r="6" spans="1:1">
      <c r="A6" s="209"/>
    </row>
    <row r="7" spans="1:1">
      <c r="A7" s="209"/>
    </row>
    <row r="8" spans="1:1">
      <c r="A8" s="209"/>
    </row>
    <row r="9" spans="1:1">
      <c r="A9" s="209"/>
    </row>
  </sheetData>
  <sheetProtection sheet="1" objects="1" scenarios="1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8" sqref="B18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45591</v>
      </c>
      <c r="C2" s="152" t="str">
        <f>IF(ЧКВ!A6=Вмешательства!D4,Вмешательства!F20,IF(ЧКВ!A6=Вмешательства!D36,Вмешательства!F20,Вмешательства!F22))</f>
        <v>ОМС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Ищенко Е.П.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19783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34" t="str">
        <f>ЧКВ!A6</f>
        <v xml:space="preserve">Транслюминальная баллонная ангиопластика коронарных артерий. </v>
      </c>
      <c r="C6" s="131" t="s">
        <v>10</v>
      </c>
      <c r="D6" s="103">
        <f>DATEDIF(D5,D10,"y")</f>
        <v>70</v>
      </c>
    </row>
    <row r="7" spans="1:4">
      <c r="A7" s="38"/>
      <c r="C7" s="101" t="s">
        <v>12</v>
      </c>
      <c r="D7" s="103">
        <f>КАГ!$B$14</f>
        <v>30379</v>
      </c>
    </row>
    <row r="8" spans="1:4">
      <c r="A8" s="194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 xml:space="preserve">Код метода:  </v>
      </c>
      <c r="C9" s="105" t="s">
        <v>106</v>
      </c>
      <c r="D9" s="103" t="str">
        <f>КАГ!$B$16</f>
        <v>ОКС с ↑ ST</v>
      </c>
    </row>
    <row r="10" spans="1:4">
      <c r="A10" s="195"/>
      <c r="B10" s="31"/>
      <c r="C10" s="150" t="s">
        <v>13</v>
      </c>
      <c r="D10" s="151">
        <f>КАГ!$B$8</f>
        <v>45591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331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315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375</v>
      </c>
      <c r="C16" s="135" t="s">
        <v>406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4"/>
      <c r="C17" s="135"/>
      <c r="D17" s="140"/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4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M5" sqref="AM5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1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2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3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4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5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6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7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8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9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10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11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12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Nitrex 260</v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13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RadiFocus</v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14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BasixCOMPAK</v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15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BasixTOUCH</v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16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Dolphin</v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17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Lepu Medical</v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18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19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Demax</v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20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Oscor 7F</v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21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22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Поток CTЗ по ТУ</v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23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Индефлятор</v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24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25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26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</v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27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Fielder XT-A</v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28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Fielder XT-R</v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29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Asahi Gaia First</v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30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Asahi Gaia Second</v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31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Asahi Gaia Third</v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32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Intuition</v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33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34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35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36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Rinato</v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37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38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39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40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</v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41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Sion Black</v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42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Sion Blue</v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43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Thunder</v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521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44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Abbot Whisper MS</v>
      </c>
      <c r="W45" s="115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522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45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Abbot Whisper LS</v>
      </c>
      <c r="W46" s="115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46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Winn 200T</v>
      </c>
      <c r="W47" s="115" t="str">
        <f>IFERROR(INDEX(Расходка[Наименование расходного материала],MATCH(Расходка[[#This Row],[№]],Поиск_расходки[Индекс6],0)),"")</f>
        <v>Winn 200T</v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47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48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49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50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50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 xml:space="preserve">Balancium </v>
      </c>
      <c r="W51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51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Shunmei</v>
      </c>
      <c r="W52" s="115" t="str">
        <f>IFERROR(INDEX(Расходка[Наименование расходного материала],MATCH(Расходка[[#This Row],[№]],Поиск_расходки[Индекс6],0)),"")</f>
        <v>Shunmei</v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524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52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Pilot 150</v>
      </c>
      <c r="W53" s="115" t="str">
        <f>IFERROR(INDEX(Расходка[Наименование расходного материала],MATCH(Расходка[[#This Row],[№]],Поиск_расходки[Индекс6],0)),"")</f>
        <v>Pilot 150</v>
      </c>
      <c r="X53" s="115" t="str">
        <f>IFERROR(INDEX(Расходка[Наименование расходного материала],MATCH(Расходка[[#This Row],[№]],Поиск_расходки[Индекс7],0)),"")</f>
        <v>Pilot 150</v>
      </c>
      <c r="Y53" s="115" t="str">
        <f>IFERROR(INDEX(Расходка[Наименование расходного материала],MATCH(Расходка[[#This Row],[№]],Поиск_расходки[Индекс8],0)),"")</f>
        <v>Pilot 150</v>
      </c>
      <c r="Z53" s="115" t="str">
        <f>IFERROR(INDEX(Расходка[Наименование расходного материала],MATCH(Расходка[[#This Row],[№]],Поиск_расходки[Индекс9],0)),"")</f>
        <v>Pilot 150</v>
      </c>
      <c r="AA53" s="115" t="str">
        <f>IFERROR(INDEX(Расходка[Наименование расходного материала],MATCH(Расходка[[#This Row],[№]],Поиск_расходки[Индекс10],0)),"")</f>
        <v>Pilot 150</v>
      </c>
      <c r="AB53" s="115" t="str">
        <f>IFERROR(INDEX(Расходка[Наименование расходного материала],MATCH(Расходка[[#This Row],[№]],Поиск_расходки[Индекс11],0)),"")</f>
        <v>Pilot 150</v>
      </c>
      <c r="AC53" s="115" t="str">
        <f>IFERROR(INDEX(Расходка[Наименование расходного материала],MATCH(Расходка[[#This Row],[№]],Поиск_расходки[Индекс12],0)),"")</f>
        <v>Pilot 150</v>
      </c>
      <c r="AD53" s="115" t="str">
        <f>IFERROR(INDEX(Расходка[Наименование расходного материала],MATCH(Расходка[[#This Row],[№]],Поиск_расходки[Индекс13],0)),"")</f>
        <v>Pilot 150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6</v>
      </c>
      <c r="C54" s="1" t="s">
        <v>278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53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BMS, Integtity</v>
      </c>
      <c r="W54" s="115" t="str">
        <f>IFERROR(INDEX(Расходка[Наименование расходного материала],MATCH(Расходка[[#This Row],[№]],Поиск_расходки[Индекс6],0)),"")</f>
        <v>BMS, Integtity</v>
      </c>
      <c r="X54" s="115" t="str">
        <f>IFERROR(INDEX(Расходка[Наименование расходного материала],MATCH(Расходка[[#This Row],[№]],Поиск_расходки[Индекс7],0)),"")</f>
        <v>BMS, Integtity</v>
      </c>
      <c r="Y54" s="115" t="str">
        <f>IFERROR(INDEX(Расходка[Наименование расходного материала],MATCH(Расходка[[#This Row],[№]],Поиск_расходки[Индекс8],0)),"")</f>
        <v>BMS, Integtity</v>
      </c>
      <c r="Z54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4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4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4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4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6</v>
      </c>
      <c r="C55" s="157" t="s">
        <v>346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54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Calipso</v>
      </c>
      <c r="W55" s="115" t="str">
        <f>IFERROR(INDEX(Расходка[Наименование расходного материала],MATCH(Расходка[[#This Row],[№]],Поиск_расходки[Индекс6],0)),"")</f>
        <v>DES, Calipso</v>
      </c>
      <c r="X55" s="115" t="str">
        <f>IFERROR(INDEX(Расходка[Наименование расходного материала],MATCH(Расходка[[#This Row],[№]],Поиск_расходки[Индекс7],0)),"")</f>
        <v>DES, Calipso</v>
      </c>
      <c r="Y55" s="115" t="str">
        <f>IFERROR(INDEX(Расходка[Наименование расходного материала],MATCH(Расходка[[#This Row],[№]],Поиск_расходки[Индекс8],0)),"")</f>
        <v>DES, Calipso</v>
      </c>
      <c r="Z55" s="115" t="str">
        <f>IFERROR(INDEX(Расходка[Наименование расходного материала],MATCH(Расходка[[#This Row],[№]],Поиск_расходки[Индекс9],0)),"")</f>
        <v>DES, Calipso</v>
      </c>
      <c r="AA55" s="115" t="str">
        <f>IFERROR(INDEX(Расходка[Наименование расходного материала],MATCH(Расходка[[#This Row],[№]],Поиск_расходки[Индекс10],0)),"")</f>
        <v>DES, Calipso</v>
      </c>
      <c r="AB55" s="115" t="str">
        <f>IFERROR(INDEX(Расходка[Наименование расходного материала],MATCH(Расходка[[#This Row],[№]],Поиск_расходки[Индекс11],0)),"")</f>
        <v>DES, Calipso</v>
      </c>
      <c r="AC55" s="115" t="str">
        <f>IFERROR(INDEX(Расходка[Наименование расходного материала],MATCH(Расходка[[#This Row],[№]],Поиск_расходки[Индекс12],0)),"")</f>
        <v>DES, Calipso</v>
      </c>
      <c r="AD55" s="115" t="str">
        <f>IFERROR(INDEX(Расходка[Наименование расходного материала],MATCH(Расходка[[#This Row],[№]],Поиск_расходки[Индекс13],0)),"")</f>
        <v>DES, Calipso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7" t="s">
        <v>345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55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NanoMed</v>
      </c>
      <c r="W56" s="115" t="str">
        <f>IFERROR(INDEX(Расходка[Наименование расходного материала],MATCH(Расходка[[#This Row],[№]],Поиск_расходки[Индекс6],0)),"")</f>
        <v>DES, NanoMed</v>
      </c>
      <c r="X56" s="115" t="str">
        <f>IFERROR(INDEX(Расходка[Наименование расходного материала],MATCH(Расходка[[#This Row],[№]],Поиск_расходки[Индекс7],0)),"")</f>
        <v>DES, NanoMed</v>
      </c>
      <c r="Y56" s="115" t="str">
        <f>IFERROR(INDEX(Расходка[Наименование расходного материала],MATCH(Расходка[[#This Row],[№]],Поиск_расходки[Индекс8],0)),"")</f>
        <v>DES, NanoMed</v>
      </c>
      <c r="Z56" s="115" t="str">
        <f>IFERROR(INDEX(Расходка[Наименование расходного материала],MATCH(Расходка[[#This Row],[№]],Поиск_расходки[Индекс9],0)),"")</f>
        <v>DES, NanoMed</v>
      </c>
      <c r="AA56" s="115" t="str">
        <f>IFERROR(INDEX(Расходка[Наименование расходного материала],MATCH(Расходка[[#This Row],[№]],Поиск_расходки[Индекс10],0)),"")</f>
        <v>DES, NanoMed</v>
      </c>
      <c r="AB56" s="115" t="str">
        <f>IFERROR(INDEX(Расходка[Наименование расходного материала],MATCH(Расходка[[#This Row],[№]],Поиск_расходки[Индекс11],0)),"")</f>
        <v>DES, NanoMed</v>
      </c>
      <c r="AC56" s="115" t="str">
        <f>IFERROR(INDEX(Расходка[Наименование расходного материала],MATCH(Расходка[[#This Row],[№]],Поиск_расходки[Индекс12],0)),"")</f>
        <v>DES, NanoMed</v>
      </c>
      <c r="AD56" s="115" t="str">
        <f>IFERROR(INDEX(Расходка[Наименование расходного материала],MATCH(Расходка[[#This Row],[№]],Поиск_расходки[Индекс13],0)),"")</f>
        <v>DES, NanoMed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30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56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7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7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7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7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7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7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t="s">
        <v>358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57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8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8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8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8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8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8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8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8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61" t="s">
        <v>386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58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DES, Firehawk</v>
      </c>
      <c r="W59" s="115" t="str">
        <f>IFERROR(INDEX(Расходка[Наименование расходного материала],MATCH(Расходка[[#This Row],[№]],Поиск_расходки[Индекс6],0)),"")</f>
        <v>DES, Firehawk</v>
      </c>
      <c r="X59" s="115" t="str">
        <f>IFERROR(INDEX(Расходка[Наименование расходного материала],MATCH(Расходка[[#This Row],[№]],Поиск_расходки[Индекс7],0)),"")</f>
        <v>DES, Firehawk</v>
      </c>
      <c r="Y59" s="115" t="str">
        <f>IFERROR(INDEX(Расходка[Наименование расходного материала],MATCH(Расходка[[#This Row],[№]],Поиск_расходки[Индекс8],0)),"")</f>
        <v>DES, Firehawk</v>
      </c>
      <c r="Z59" s="115" t="str">
        <f>IFERROR(INDEX(Расходка[Наименование расходного материала],MATCH(Расходка[[#This Row],[№]],Поиск_расходки[Индекс9],0)),"")</f>
        <v>DES, Firehawk</v>
      </c>
      <c r="AA59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9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9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9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385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59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60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60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60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60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60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60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60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60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60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DES, Калипсо</v>
      </c>
      <c r="W61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61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1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1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1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1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1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1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61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Meril Evermine50™</v>
      </c>
      <c r="W62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2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2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2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2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2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2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2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95</v>
      </c>
      <c r="C63" s="1" t="s">
        <v>325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62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63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3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3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344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63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64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4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4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4</v>
      </c>
      <c r="C65" t="s">
        <v>351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64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65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5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65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6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6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6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326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66</v>
      </c>
      <c r="J67" s="197">
        <f>IF(ISNUMBER(SEARCH('Карта учёта'!$B$18,Расходка[[#This Row],[Наименование расходного материала]])),MAX($J$1:J66)+1,0)</f>
        <v>66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>Launcher 6F EBU 3.5</v>
      </c>
      <c r="W67" s="198" t="str">
        <f>IFERROR(INDEX(Расходка[Наименование расходного материала],MATCH(Расходка[[#This Row],[№]],Поиск_расходки[Индекс6],0)),"")</f>
        <v>Launcher 6F EBU 3.5</v>
      </c>
      <c r="X67" s="198" t="str">
        <f>IFERROR(INDEX(Расходка[Наименование расходного материала],MATCH(Расходка[[#This Row],[№]],Поиск_расходки[Индекс7],0)),"")</f>
        <v>Launcher 6F EBU 3.5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3.5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3.5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3.5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3.5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3.5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3.5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327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67</v>
      </c>
      <c r="J68" s="197">
        <f>IF(ISNUMBER(SEARCH('Карта учёта'!$B$18,Расходка[[#This Row],[Наименование расходного материала]])),MAX($J$1:J67)+1,0)</f>
        <v>67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>Launcher 6F EBU 4.0</v>
      </c>
      <c r="W68" s="198" t="str">
        <f>IFERROR(INDEX(Расходка[Наименование расходного материала],MATCH(Расходка[[#This Row],[№]],Поиск_расходки[Индекс6],0)),"")</f>
        <v>Launcher 6F EBU 4.0</v>
      </c>
      <c r="X68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8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8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328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68</v>
      </c>
      <c r="J69" s="197">
        <f>IF(ISNUMBER(SEARCH('Карта учёта'!$B$18,Расходка[[#This Row],[Наименование расходного материала]])),MAX($J$1:J68)+1,0)</f>
        <v>68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>Launcher 6F JL 3.5</v>
      </c>
      <c r="W69" s="198" t="str">
        <f>IFERROR(INDEX(Расходка[Наименование расходного материала],MATCH(Расходка[[#This Row],[№]],Поиск_расходки[Индекс6],0)),"")</f>
        <v>Launcher 6F JL 3.5</v>
      </c>
      <c r="X69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329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69</v>
      </c>
      <c r="J70" s="197">
        <f>IF(ISNUMBER(SEARCH('Карта учёта'!$B$18,Расходка[[#This Row],[Наименование расходного материала]])),MAX($J$1:J69)+1,0)</f>
        <v>69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>Launcher 6F JL 4.0</v>
      </c>
      <c r="W70" s="198" t="str">
        <f>IFERROR(INDEX(Расходка[Наименование расходного материала],MATCH(Расходка[[#This Row],[№]],Поиск_расходки[Индекс6],0)),"")</f>
        <v>Launcher 6F JL 4.0</v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335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70</v>
      </c>
      <c r="J71" s="197">
        <f>IF(ISNUMBER(SEARCH('Карта учёта'!$B$18,Расходка[[#This Row],[Наименование расходного материала]])),MAX($J$1:J70)+1,0)</f>
        <v>70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>Launcher 6F JL 4.5</v>
      </c>
      <c r="W71" s="198" t="str">
        <f>IFERROR(INDEX(Расходка[Наименование расходного материала],MATCH(Расходка[[#This Row],[№]],Поиск_расходки[Индекс6],0)),"")</f>
        <v>Launcher 6F JL 4.5</v>
      </c>
      <c r="X71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330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71</v>
      </c>
      <c r="J72" s="197">
        <f>IF(ISNUMBER(SEARCH('Карта учёта'!$B$18,Расходка[[#This Row],[Наименование расходного материала]])),MAX($J$1:J71)+1,0)</f>
        <v>71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>Launcher 6F JR 3.5</v>
      </c>
      <c r="W72" s="198" t="str">
        <f>IFERROR(INDEX(Расходка[Наименование расходного материала],MATCH(Расходка[[#This Row],[№]],Поиск_расходки[Индекс6],0)),"")</f>
        <v>Launcher 6F JR 3.5</v>
      </c>
      <c r="X72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1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72</v>
      </c>
      <c r="J73" s="197">
        <f>IF(ISNUMBER(SEARCH('Карта учёта'!$B$18,Расходка[[#This Row],[Наименование расходного материала]])),MAX($J$1:J72)+1,0)</f>
        <v>72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>Launcher 6F JR 4.0</v>
      </c>
      <c r="W73" s="198" t="str">
        <f>IFERROR(INDEX(Расходка[Наименование расходного материала],MATCH(Расходка[[#This Row],[№]],Поиск_расходки[Индекс6],0)),"")</f>
        <v>Launcher 6F JR 4.0</v>
      </c>
      <c r="X73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3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3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3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3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3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3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341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73</v>
      </c>
      <c r="J74" s="197">
        <f>IF(ISNUMBER(SEARCH('Карта учёта'!$B$18,Расходка[[#This Row],[Наименование расходного материала]])),MAX($J$1:J73)+1,0)</f>
        <v>73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>Launcher 7F JL 3.5</v>
      </c>
      <c r="W74" s="198" t="str">
        <f>IFERROR(INDEX(Расходка[Наименование расходного материала],MATCH(Расходка[[#This Row],[№]],Поиск_расходки[Индекс6],0)),"")</f>
        <v>Launcher 7F JL 3.5</v>
      </c>
      <c r="X74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340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74</v>
      </c>
      <c r="J75" s="197">
        <f>IF(ISNUMBER(SEARCH('Карта учёта'!$B$18,Расходка[[#This Row],[Наименование расходного материала]])),MAX($J$1:J74)+1,0)</f>
        <v>74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>Launcher 7F JL 4.0</v>
      </c>
      <c r="W75" s="198" t="str">
        <f>IFERROR(INDEX(Расходка[Наименование расходного материала],MATCH(Расходка[[#This Row],[№]],Поиск_расходки[Индекс6],0)),"")</f>
        <v>Launcher 7F JL 4.0</v>
      </c>
      <c r="X75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5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5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5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5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5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5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301</v>
      </c>
      <c r="C76" s="1" t="s">
        <v>332</v>
      </c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75</v>
      </c>
      <c r="J76" s="197">
        <f>IF(ISNUMBER(SEARCH('Карта учёта'!$B$18,Расходка[[#This Row],[Наименование расходного материала]])),MAX($J$1:J75)+1,0)</f>
        <v>75</v>
      </c>
      <c r="K76" s="197">
        <f>IF(ISNUMBER(SEARCH('Карта учёта'!$B$19,Расходка[[#This Row],[Наименование расходного материала]])),MAX($K$1:K75)+1,0)</f>
        <v>75</v>
      </c>
      <c r="L76" s="197">
        <f>IF(ISNUMBER(SEARCH('Карта учёта'!$B$20,Расходка[[#This Row],[Наименование расходного материала]])),MAX($L$1:L75)+1,0)</f>
        <v>75</v>
      </c>
      <c r="M76" s="197">
        <f>IF(ISNUMBER(SEARCH('Карта учёта'!$B$21,Расходка[[#This Row],[Наименование расходного материала]])),MAX($M$1:M75)+1,0)</f>
        <v>75</v>
      </c>
      <c r="N76" s="197">
        <f>IF(ISNUMBER(SEARCH('Карта учёта'!$B$22,Расходка[[#This Row],[Наименование расходного материала]])),MAX($N$1:N75)+1,0)</f>
        <v>75</v>
      </c>
      <c r="O76" s="197">
        <f>IF(ISNUMBER(SEARCH('Карта учёта'!$B$23,Расходка[[#This Row],[Наименование расходного материала]])),MAX($O$1:O75)+1,0)</f>
        <v>75</v>
      </c>
      <c r="P76" s="197">
        <f>IF(ISNUMBER(SEARCH('Карта учёта'!$B$24,Расходка[[#This Row],[Наименование расходного материала]])),MAX($P$1:P75)+1,0)</f>
        <v>75</v>
      </c>
      <c r="Q76" s="197">
        <f>IF(ISNUMBER(SEARCH('Карта учёта'!$B$25,Расходка[[#This Row],[Наименование расходного материала]])),MAX($Q$1:Q75)+1,0)</f>
        <v>75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>Angio-Seal™ VIP</v>
      </c>
      <c r="W76" s="198" t="str">
        <f>IFERROR(INDEX(Расходка[Наименование расходного материала],MATCH(Расходка[[#This Row],[№]],Поиск_расходки[Индекс6],0)),"")</f>
        <v>Angio-Seal™ VIP</v>
      </c>
      <c r="X76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6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6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6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6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6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6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2024-10-26T00:10:29Z</cp:lastPrinted>
  <dcterms:created xsi:type="dcterms:W3CDTF">2015-06-05T18:19:34Z</dcterms:created>
  <dcterms:modified xsi:type="dcterms:W3CDTF">2024-10-26T00:12:39Z</dcterms:modified>
</cp:coreProperties>
</file>