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4\10\"/>
    </mc:Choice>
  </mc:AlternateContent>
  <bookViews>
    <workbookView xWindow="-120" yWindow="-120" windowWidth="29040" windowHeight="15840"/>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2" i="1"/>
  <c r="A16" i="3" l="1"/>
  <c r="A17" i="3"/>
  <c r="A1" i="11" l="1"/>
  <c r="A3" i="11"/>
  <c r="A18" i="3" l="1"/>
  <c r="C15" i="5" l="1"/>
  <c r="B15" i="9" l="1"/>
  <c r="E71" i="1" l="1"/>
  <c r="E72" i="1"/>
  <c r="E73" i="1"/>
  <c r="E74" i="1"/>
  <c r="E75" i="1"/>
  <c r="E76" i="1"/>
  <c r="E77" i="1"/>
  <c r="E78" i="1"/>
  <c r="F76" i="1"/>
  <c r="F77" i="1"/>
  <c r="F78" i="1"/>
  <c r="G76" i="1"/>
  <c r="G77" i="1"/>
  <c r="G78" i="1"/>
  <c r="H76" i="1"/>
  <c r="H77" i="1"/>
  <c r="H78" i="1"/>
  <c r="I77" i="1"/>
  <c r="I78" i="1"/>
  <c r="J77" i="1"/>
  <c r="J78" i="1"/>
  <c r="K77" i="1"/>
  <c r="K78" i="1"/>
  <c r="L77" i="1"/>
  <c r="L78" i="1"/>
  <c r="M77" i="1"/>
  <c r="M78" i="1"/>
  <c r="N77" i="1"/>
  <c r="N78" i="1"/>
  <c r="O77" i="1"/>
  <c r="O78" i="1"/>
  <c r="P77" i="1"/>
  <c r="P78" i="1"/>
  <c r="Q77" i="1"/>
  <c r="Q78" i="1"/>
  <c r="R77" i="1"/>
  <c r="R78" i="1"/>
  <c r="S77" i="1"/>
  <c r="S78" i="1"/>
  <c r="T77" i="1"/>
  <c r="T78" i="1"/>
  <c r="U77" i="1"/>
  <c r="U78" i="1"/>
  <c r="V77" i="1"/>
  <c r="V78" i="1"/>
  <c r="W77" i="1"/>
  <c r="W78" i="1"/>
  <c r="X77" i="1"/>
  <c r="X78" i="1"/>
  <c r="Y77" i="1"/>
  <c r="Y78" i="1"/>
  <c r="Z77" i="1"/>
  <c r="Z78" i="1"/>
  <c r="AA77" i="1"/>
  <c r="AA78" i="1"/>
  <c r="AB77" i="1"/>
  <c r="AB78" i="1"/>
  <c r="AC77" i="1"/>
  <c r="AC78" i="1"/>
  <c r="AD77" i="1"/>
  <c r="AD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H22" i="9" s="1"/>
  <c r="D37" i="6"/>
  <c r="G51" i="6"/>
  <c r="A8" i="9"/>
  <c r="D10" i="3"/>
  <c r="B2" i="3" s="1"/>
  <c r="D9" i="3"/>
  <c r="D8" i="3"/>
  <c r="D7" i="3"/>
  <c r="D5" i="3"/>
  <c r="D4" i="3"/>
  <c r="AK7" i="1"/>
  <c r="AK8" i="1"/>
  <c r="AK3" i="1"/>
  <c r="AK4" i="1"/>
  <c r="AK5" i="1"/>
  <c r="AK6" i="1"/>
  <c r="AK2" i="1"/>
  <c r="B13" i="6"/>
  <c r="B18" i="9" s="1"/>
  <c r="A7" i="6"/>
  <c r="A25" i="3"/>
  <c r="A26" i="3"/>
  <c r="A27" i="3"/>
  <c r="A13" i="3"/>
  <c r="A14" i="3"/>
  <c r="A15"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Q9" i="1" s="1"/>
  <c r="J8" i="1"/>
  <c r="E11" i="1"/>
  <c r="E12" i="1" s="1"/>
  <c r="E13" i="1" s="1"/>
  <c r="E14" i="1" s="1"/>
  <c r="E15" i="1" s="1"/>
  <c r="M8" i="1"/>
  <c r="N10" i="1"/>
  <c r="I8" i="1"/>
  <c r="G9" i="1"/>
  <c r="H9" i="1"/>
  <c r="F8" i="1"/>
  <c r="K9" i="1"/>
  <c r="L10" i="1"/>
  <c r="O11" i="1" l="1"/>
  <c r="O12" i="1" s="1"/>
  <c r="O13" i="1" s="1"/>
  <c r="P10" i="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P12" i="1" s="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O19" i="1" l="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P13" i="1"/>
  <c r="P14"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61" i="1" s="1"/>
  <c r="AD60" i="1"/>
  <c r="AD57" i="1"/>
  <c r="AD59" i="1"/>
  <c r="H23" i="1"/>
  <c r="K18" i="1"/>
  <c r="K19" i="1" s="1"/>
  <c r="K20" i="1" s="1"/>
  <c r="K21" i="1" s="1"/>
  <c r="K22" i="1" s="1"/>
  <c r="K23" i="1" s="1"/>
  <c r="K24" i="1" s="1"/>
  <c r="I25" i="1"/>
  <c r="I26" i="1" s="1"/>
  <c r="AD4" i="1"/>
  <c r="AD6" i="1"/>
  <c r="AD5" i="1"/>
  <c r="AD7" i="1"/>
  <c r="AD15" i="1"/>
  <c r="AD13" i="1"/>
  <c r="M21" i="1"/>
  <c r="L18" i="1"/>
  <c r="G16" i="1"/>
  <c r="G17" i="1" s="1"/>
  <c r="F20" i="1"/>
  <c r="O56" i="1" l="1"/>
  <c r="O57" i="1" s="1"/>
  <c r="P17" i="1"/>
  <c r="E66" i="1"/>
  <c r="Q62" i="1"/>
  <c r="J22" i="1"/>
  <c r="J23" i="1" s="1"/>
  <c r="J24" i="1" s="1"/>
  <c r="N20" i="1"/>
  <c r="N21" i="1" s="1"/>
  <c r="N22" i="1" s="1"/>
  <c r="K25" i="1"/>
  <c r="K26" i="1" s="1"/>
  <c r="K27" i="1" s="1"/>
  <c r="H24" i="1"/>
  <c r="AD18" i="1"/>
  <c r="G18" i="1"/>
  <c r="G19" i="1" s="1"/>
  <c r="G20" i="1" s="1"/>
  <c r="I27" i="1"/>
  <c r="M22" i="1"/>
  <c r="L19" i="1"/>
  <c r="L20" i="1" s="1"/>
  <c r="F21" i="1"/>
  <c r="O58" i="1" l="1"/>
  <c r="O59" i="1" s="1"/>
  <c r="P18" i="1"/>
  <c r="E67" i="1"/>
  <c r="AD62" i="1"/>
  <c r="Q63" i="1"/>
  <c r="Q64" i="1" s="1"/>
  <c r="Q65" i="1" s="1"/>
  <c r="Q66" i="1" s="1"/>
  <c r="K28" i="1"/>
  <c r="K29" i="1" s="1"/>
  <c r="AD26" i="1"/>
  <c r="G21" i="1"/>
  <c r="G22" i="1" s="1"/>
  <c r="G23" i="1" s="1"/>
  <c r="H25" i="1"/>
  <c r="I28" i="1"/>
  <c r="M23" i="1"/>
  <c r="J25" i="1"/>
  <c r="N23" i="1"/>
  <c r="L21" i="1"/>
  <c r="F22" i="1"/>
  <c r="O60" i="1" l="1"/>
  <c r="O61" i="1" s="1"/>
  <c r="O62" i="1" s="1"/>
  <c r="P19" i="1"/>
  <c r="E68" i="1"/>
  <c r="Q67" i="1"/>
  <c r="AD66" i="1"/>
  <c r="AD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5" i="1" l="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AC18" i="1"/>
  <c r="AC4" i="1"/>
  <c r="AC13" i="1"/>
  <c r="AC5" i="1"/>
  <c r="AC6" i="1"/>
  <c r="AC7" i="1"/>
  <c r="AC19" i="1"/>
  <c r="AC15" i="1"/>
  <c r="F25" i="1"/>
  <c r="O64" i="1" l="1"/>
  <c r="P21" i="1"/>
  <c r="Q69" i="1"/>
  <c r="AD69" i="1" s="1"/>
  <c r="AD68"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AC21" i="1"/>
  <c r="Q70" i="1"/>
  <c r="Q71" i="1" s="1"/>
  <c r="Q72" i="1" s="1"/>
  <c r="J50" i="1"/>
  <c r="J51" i="1" s="1"/>
  <c r="H47" i="1"/>
  <c r="H48" i="1" s="1"/>
  <c r="I47" i="1"/>
  <c r="I48" i="1" s="1"/>
  <c r="I49" i="1" s="1"/>
  <c r="I50" i="1" s="1"/>
  <c r="K43" i="1"/>
  <c r="N27" i="1"/>
  <c r="M28" i="1"/>
  <c r="M29" i="1" s="1"/>
  <c r="L30" i="1"/>
  <c r="G29" i="1"/>
  <c r="F28" i="1"/>
  <c r="O66" i="1" l="1"/>
  <c r="O67" i="1" s="1"/>
  <c r="O68" i="1" s="1"/>
  <c r="P23" i="1"/>
  <c r="AD58" i="1"/>
  <c r="Q73" i="1"/>
  <c r="AD71" i="1"/>
  <c r="AD72"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AB13" i="1"/>
  <c r="AB19" i="1"/>
  <c r="AB5" i="1"/>
  <c r="AB15" i="1"/>
  <c r="AB4" i="1"/>
  <c r="AB18" i="1"/>
  <c r="AB26" i="1"/>
  <c r="AB66" i="1"/>
  <c r="AB59" i="1"/>
  <c r="AB67" i="1"/>
  <c r="AB58" i="1"/>
  <c r="AB71" i="1"/>
  <c r="AB68" i="1"/>
  <c r="AB62" i="1"/>
  <c r="AB57" i="1"/>
  <c r="AB61" i="1"/>
  <c r="AB21" i="1"/>
  <c r="AB6" i="1"/>
  <c r="AB56" i="1"/>
  <c r="AB7" i="1"/>
  <c r="AB60" i="1"/>
  <c r="AB63" i="1"/>
  <c r="AB65" i="1"/>
  <c r="AB64" i="1"/>
  <c r="AD73" i="1"/>
  <c r="Q74" i="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B25" i="1"/>
  <c r="AD74" i="1" l="1"/>
  <c r="Q75" i="1"/>
  <c r="AB70" i="1"/>
  <c r="AB69" i="1"/>
  <c r="AB72" i="1"/>
  <c r="O73" i="1"/>
  <c r="O74" i="1" s="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B30" i="1"/>
  <c r="N31" i="1"/>
  <c r="AD75" i="1" l="1"/>
  <c r="Q76" i="1"/>
  <c r="AD76" i="1" s="1"/>
  <c r="AB74" i="1"/>
  <c r="O75" i="1"/>
  <c r="AB73" i="1"/>
  <c r="P26" i="1"/>
  <c r="AC25" i="1"/>
  <c r="H65" i="1"/>
  <c r="J67" i="1"/>
  <c r="W2" i="1"/>
  <c r="I54" i="1"/>
  <c r="I55" i="1" s="1"/>
  <c r="I56" i="1" s="1"/>
  <c r="I57" i="1" s="1"/>
  <c r="I58" i="1" s="1"/>
  <c r="I59" i="1" s="1"/>
  <c r="I60" i="1" s="1"/>
  <c r="I61" i="1" s="1"/>
  <c r="I62" i="1" s="1"/>
  <c r="F51" i="1"/>
  <c r="G47" i="1"/>
  <c r="K47" i="1"/>
  <c r="L35" i="1"/>
  <c r="M34" i="1"/>
  <c r="AB31" i="1"/>
  <c r="N32" i="1"/>
  <c r="N33" i="1" s="1"/>
  <c r="AB29" i="1"/>
  <c r="AB75" i="1" l="1"/>
  <c r="O76" i="1"/>
  <c r="AB76" i="1" s="1"/>
  <c r="P27" i="1"/>
  <c r="AC26" i="1"/>
  <c r="H66" i="1"/>
  <c r="J68" i="1"/>
  <c r="I63" i="1"/>
  <c r="I64" i="1" s="1"/>
  <c r="I65" i="1" s="1"/>
  <c r="I66" i="1" s="1"/>
  <c r="F52" i="1"/>
  <c r="AD36" i="1"/>
  <c r="G48" i="1"/>
  <c r="K48" i="1"/>
  <c r="L36" i="1"/>
  <c r="M35" i="1"/>
  <c r="AC17" i="1"/>
  <c r="N34" i="1"/>
  <c r="N35" i="1" s="1"/>
  <c r="N36" i="1" s="1"/>
  <c r="N37" i="1" s="1"/>
  <c r="N38" i="1" s="1"/>
  <c r="N39" i="1" s="1"/>
  <c r="N40" i="1" s="1"/>
  <c r="N41" i="1" s="1"/>
  <c r="N42" i="1" s="1"/>
  <c r="AB17" i="1"/>
  <c r="P28" i="1" l="1"/>
  <c r="I67" i="1"/>
  <c r="I68" i="1" s="1"/>
  <c r="I69" i="1" s="1"/>
  <c r="H67" i="1"/>
  <c r="J69" i="1"/>
  <c r="AD37" i="1"/>
  <c r="F53" i="1"/>
  <c r="F54" i="1" s="1"/>
  <c r="F55" i="1" s="1"/>
  <c r="F56" i="1" s="1"/>
  <c r="F57" i="1" s="1"/>
  <c r="F58" i="1" s="1"/>
  <c r="F59" i="1" s="1"/>
  <c r="F60" i="1" s="1"/>
  <c r="F61" i="1" s="1"/>
  <c r="F62" i="1" s="1"/>
  <c r="K49" i="1"/>
  <c r="K50" i="1" s="1"/>
  <c r="G49" i="1"/>
  <c r="N43" i="1"/>
  <c r="AB40" i="1"/>
  <c r="AB32" i="1"/>
  <c r="L37" i="1"/>
  <c r="AC16" i="1"/>
  <c r="AB37" i="1"/>
  <c r="AB16" i="1"/>
  <c r="M36" i="1"/>
  <c r="AB36" i="1"/>
  <c r="AB34" i="1"/>
  <c r="AB22" i="1"/>
  <c r="AC22" i="1"/>
  <c r="P29" i="1" l="1"/>
  <c r="J70" i="1"/>
  <c r="I70" i="1"/>
  <c r="H68" i="1"/>
  <c r="H69" i="1" s="1"/>
  <c r="H70" i="1" s="1"/>
  <c r="H71" i="1" s="1"/>
  <c r="H72" i="1" s="1"/>
  <c r="F63" i="1"/>
  <c r="F64" i="1" s="1"/>
  <c r="F65" i="1" s="1"/>
  <c r="F66" i="1" s="1"/>
  <c r="F67" i="1" s="1"/>
  <c r="F68" i="1" s="1"/>
  <c r="F69" i="1" s="1"/>
  <c r="AB38" i="1"/>
  <c r="AB41" i="1"/>
  <c r="AB39" i="1"/>
  <c r="AB42" i="1"/>
  <c r="K51" i="1"/>
  <c r="G50" i="1"/>
  <c r="AD38" i="1"/>
  <c r="N44" i="1"/>
  <c r="AB43" i="1"/>
  <c r="L38" i="1"/>
  <c r="L39" i="1" s="1"/>
  <c r="AB33" i="1"/>
  <c r="M37" i="1"/>
  <c r="V2" i="1" l="1"/>
  <c r="P30" i="1"/>
  <c r="AC29" i="1"/>
  <c r="H73" i="1"/>
  <c r="J71" i="1"/>
  <c r="I71" i="1"/>
  <c r="F70" i="1"/>
  <c r="F71" i="1" s="1"/>
  <c r="F72" i="1" s="1"/>
  <c r="F73" i="1" s="1"/>
  <c r="S2" i="1"/>
  <c r="K52" i="1"/>
  <c r="K53" i="1" s="1"/>
  <c r="G51" i="1"/>
  <c r="AD39" i="1"/>
  <c r="AC23" i="1"/>
  <c r="AB46" i="1"/>
  <c r="N45" i="1"/>
  <c r="L40" i="1"/>
  <c r="M38" i="1"/>
  <c r="M39" i="1" s="1"/>
  <c r="M40" i="1" s="1"/>
  <c r="H74" i="1" l="1"/>
  <c r="F74" i="1"/>
  <c r="P31" i="1"/>
  <c r="AC31" i="1" s="1"/>
  <c r="AC30"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F75" i="1" l="1"/>
  <c r="S48" i="1" s="1"/>
  <c r="S45" i="1"/>
  <c r="H75" i="1"/>
  <c r="S49" i="1"/>
  <c r="S57" i="1"/>
  <c r="P32" i="1"/>
  <c r="AC32" i="1" s="1"/>
  <c r="J73" i="1"/>
  <c r="I73" i="1"/>
  <c r="K67" i="1"/>
  <c r="G53" i="1"/>
  <c r="N49" i="1"/>
  <c r="N50" i="1" s="1"/>
  <c r="AB35" i="1"/>
  <c r="AC28" i="1"/>
  <c r="AD22" i="1"/>
  <c r="AB44" i="1"/>
  <c r="AB48" i="1"/>
  <c r="M42" i="1"/>
  <c r="L42" i="1"/>
  <c r="S5" i="1"/>
  <c r="S37" i="1"/>
  <c r="S19" i="1"/>
  <c r="S27" i="1"/>
  <c r="S23" i="1"/>
  <c r="S14" i="1"/>
  <c r="S7" i="1"/>
  <c r="S22" i="1"/>
  <c r="S38" i="1"/>
  <c r="S34" i="1"/>
  <c r="S16" i="1"/>
  <c r="S26" i="1"/>
  <c r="S9" i="1"/>
  <c r="S24" i="1"/>
  <c r="S18" i="1"/>
  <c r="S17" i="1"/>
  <c r="S33" i="1"/>
  <c r="S32" i="1"/>
  <c r="S43" i="1" l="1"/>
  <c r="S62" i="1"/>
  <c r="S75" i="1"/>
  <c r="S64" i="1"/>
  <c r="S70" i="1"/>
  <c r="S39" i="1"/>
  <c r="S50" i="1"/>
  <c r="S46" i="1"/>
  <c r="S68" i="1"/>
  <c r="U65" i="1"/>
  <c r="U76" i="1"/>
  <c r="S51" i="1"/>
  <c r="S52" i="1"/>
  <c r="S66" i="1"/>
  <c r="S76" i="1"/>
  <c r="U2" i="1"/>
  <c r="S44" i="1"/>
  <c r="S67" i="1"/>
  <c r="S28" i="1"/>
  <c r="S30" i="1"/>
  <c r="S20" i="1"/>
  <c r="S10" i="1"/>
  <c r="S15" i="1"/>
  <c r="S29" i="1"/>
  <c r="S13" i="1"/>
  <c r="S8" i="1"/>
  <c r="S36" i="1"/>
  <c r="S31" i="1"/>
  <c r="S25" i="1"/>
  <c r="S12" i="1"/>
  <c r="S21" i="1"/>
  <c r="S11" i="1"/>
  <c r="S6" i="1"/>
  <c r="S35" i="1"/>
  <c r="S3" i="1"/>
  <c r="S4" i="1"/>
  <c r="S73" i="1"/>
  <c r="S59" i="1"/>
  <c r="S58" i="1"/>
  <c r="S42" i="1"/>
  <c r="S69" i="1"/>
  <c r="S40" i="1"/>
  <c r="S63" i="1"/>
  <c r="S53" i="1"/>
  <c r="S54" i="1"/>
  <c r="S74" i="1"/>
  <c r="S60" i="1"/>
  <c r="S47" i="1"/>
  <c r="S41" i="1"/>
  <c r="S65" i="1"/>
  <c r="S72" i="1"/>
  <c r="S61" i="1"/>
  <c r="S71" i="1"/>
  <c r="S55" i="1"/>
  <c r="S56" i="1"/>
  <c r="U53" i="1"/>
  <c r="U50" i="1"/>
  <c r="U48" i="1"/>
  <c r="U62" i="1"/>
  <c r="U43" i="1"/>
  <c r="U67" i="1"/>
  <c r="U71" i="1"/>
  <c r="U49" i="1"/>
  <c r="U74" i="1"/>
  <c r="U63" i="1"/>
  <c r="U75" i="1"/>
  <c r="U68" i="1"/>
  <c r="U58" i="1"/>
  <c r="U41" i="1"/>
  <c r="U39" i="1"/>
  <c r="U60" i="1"/>
  <c r="U54" i="1"/>
  <c r="U61" i="1"/>
  <c r="U45" i="1"/>
  <c r="U42" i="1"/>
  <c r="U69" i="1"/>
  <c r="U52" i="1"/>
  <c r="U70" i="1"/>
  <c r="U73" i="1"/>
  <c r="U59" i="1"/>
  <c r="U44" i="1"/>
  <c r="U51" i="1"/>
  <c r="U40" i="1"/>
  <c r="U56" i="1"/>
  <c r="U47" i="1"/>
  <c r="U46" i="1"/>
  <c r="U55" i="1"/>
  <c r="U64" i="1"/>
  <c r="U57" i="1"/>
  <c r="U66" i="1"/>
  <c r="U72" i="1"/>
  <c r="J74" i="1"/>
  <c r="I74" i="1"/>
  <c r="P33" i="1"/>
  <c r="AC33" i="1" s="1"/>
  <c r="K68" i="1"/>
  <c r="G54" i="1"/>
  <c r="R2" i="1"/>
  <c r="N51" i="1"/>
  <c r="N52" i="1" s="1"/>
  <c r="N53" i="1" s="1"/>
  <c r="N54" i="1" s="1"/>
  <c r="N55" i="1" s="1"/>
  <c r="AB45" i="1"/>
  <c r="AC11" i="1"/>
  <c r="AC27" i="1"/>
  <c r="AC10" i="1"/>
  <c r="AC8" i="1"/>
  <c r="AC24" i="1"/>
  <c r="AC9" i="1"/>
  <c r="AC12" i="1"/>
  <c r="M43" i="1"/>
  <c r="L43" i="1"/>
  <c r="J75" i="1" l="1"/>
  <c r="I75" i="1"/>
  <c r="P34" i="1"/>
  <c r="AC34" i="1" s="1"/>
  <c r="K69" i="1"/>
  <c r="N56" i="1"/>
  <c r="N57" i="1" s="1"/>
  <c r="N58" i="1" s="1"/>
  <c r="G55" i="1"/>
  <c r="AC3" i="1"/>
  <c r="AC20" i="1"/>
  <c r="AC14"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I76" i="1" l="1"/>
  <c r="V76" i="1" s="1"/>
  <c r="J76" i="1"/>
  <c r="W75" i="1" s="1"/>
  <c r="W56" i="1"/>
  <c r="W44" i="1"/>
  <c r="W41" i="1"/>
  <c r="W68" i="1"/>
  <c r="W55" i="1"/>
  <c r="W70" i="1"/>
  <c r="W64" i="1"/>
  <c r="W57" i="1"/>
  <c r="W39" i="1"/>
  <c r="V58" i="1"/>
  <c r="W50" i="1"/>
  <c r="W71" i="1"/>
  <c r="W48" i="1"/>
  <c r="V52" i="1"/>
  <c r="V63" i="1"/>
  <c r="V49" i="1"/>
  <c r="V43" i="1"/>
  <c r="V45" i="1"/>
  <c r="V44" i="1"/>
  <c r="V59" i="1"/>
  <c r="V69" i="1"/>
  <c r="V75" i="1"/>
  <c r="V60" i="1"/>
  <c r="V41"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W42" i="1" l="1"/>
  <c r="W69" i="1"/>
  <c r="W47" i="1"/>
  <c r="W46" i="1"/>
  <c r="W53" i="1"/>
  <c r="W54" i="1"/>
  <c r="W65" i="1"/>
  <c r="W45" i="1"/>
  <c r="W40" i="1"/>
  <c r="W58" i="1"/>
  <c r="W61" i="1"/>
  <c r="V66" i="1"/>
  <c r="V64" i="1"/>
  <c r="V61" i="1"/>
  <c r="V51" i="1"/>
  <c r="V71" i="1"/>
  <c r="V50" i="1"/>
  <c r="W76" i="1"/>
  <c r="W62" i="1"/>
  <c r="W52" i="1"/>
  <c r="W74" i="1"/>
  <c r="W73" i="1"/>
  <c r="W51" i="1"/>
  <c r="W72" i="1"/>
  <c r="W43" i="1"/>
  <c r="W66" i="1"/>
  <c r="W49" i="1"/>
  <c r="W67" i="1"/>
  <c r="W63" i="1"/>
  <c r="W60" i="1"/>
  <c r="W59" i="1"/>
  <c r="V56" i="1"/>
  <c r="V39" i="1"/>
  <c r="V53" i="1"/>
  <c r="V42" i="1"/>
  <c r="V48" i="1"/>
  <c r="V65" i="1"/>
  <c r="V72" i="1"/>
  <c r="V70" i="1"/>
  <c r="V54" i="1"/>
  <c r="V47" i="1"/>
  <c r="V46" i="1"/>
  <c r="V74" i="1"/>
  <c r="V67" i="1"/>
  <c r="V55" i="1"/>
  <c r="V68" i="1"/>
  <c r="V40" i="1"/>
  <c r="V57" i="1"/>
  <c r="V62" i="1"/>
  <c r="V73" i="1"/>
  <c r="P36" i="1"/>
  <c r="AC35" i="1"/>
  <c r="AC36" i="1"/>
  <c r="K72" i="1"/>
  <c r="N60" i="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1" i="1" l="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N67" i="1" l="1"/>
  <c r="N68" i="1" s="1"/>
  <c r="K74" i="1"/>
  <c r="P38" i="1"/>
  <c r="AC38" i="1" s="1"/>
  <c r="X2" i="1"/>
  <c r="G62" i="1"/>
  <c r="G63" i="1" s="1"/>
  <c r="M51" i="1"/>
  <c r="M52" i="1" s="1"/>
  <c r="M53" i="1" s="1"/>
  <c r="L50" i="1"/>
  <c r="K75" i="1" l="1"/>
  <c r="P39" i="1"/>
  <c r="N69" i="1"/>
  <c r="G64" i="1"/>
  <c r="M54" i="1"/>
  <c r="M55" i="1" s="1"/>
  <c r="L51" i="1"/>
  <c r="L52" i="1" s="1"/>
  <c r="L53" i="1" s="1"/>
  <c r="K76" i="1" l="1"/>
  <c r="X5" i="1" s="1"/>
  <c r="X24" i="1"/>
  <c r="X54" i="1"/>
  <c r="X71" i="1"/>
  <c r="X4" i="1"/>
  <c r="X6" i="1"/>
  <c r="X9" i="1"/>
  <c r="X29" i="1"/>
  <c r="X3" i="1"/>
  <c r="X33" i="1"/>
  <c r="X20" i="1"/>
  <c r="X7" i="1"/>
  <c r="X40" i="1"/>
  <c r="X27" i="1"/>
  <c r="X28" i="1"/>
  <c r="X12" i="1"/>
  <c r="X51" i="1"/>
  <c r="X55" i="1"/>
  <c r="X75" i="1"/>
  <c r="X8" i="1"/>
  <c r="X22" i="1"/>
  <c r="X58" i="1"/>
  <c r="X62" i="1"/>
  <c r="X17" i="1"/>
  <c r="X70" i="1"/>
  <c r="X52" i="1"/>
  <c r="X69" i="1"/>
  <c r="X14" i="1"/>
  <c r="X36" i="1"/>
  <c r="X31" i="1"/>
  <c r="X64" i="1"/>
  <c r="X15" i="1"/>
  <c r="X49" i="1"/>
  <c r="X60" i="1"/>
  <c r="X19" i="1"/>
  <c r="X68" i="1"/>
  <c r="X61" i="1"/>
  <c r="X21" i="1"/>
  <c r="X63" i="1"/>
  <c r="P40" i="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N70" i="1"/>
  <c r="G65" i="1"/>
  <c r="G66" i="1" s="1"/>
  <c r="G67" i="1" s="1"/>
  <c r="G68" i="1" s="1"/>
  <c r="G69" i="1" s="1"/>
  <c r="G70" i="1" s="1"/>
  <c r="G71" i="1" s="1"/>
  <c r="G72" i="1" s="1"/>
  <c r="M56" i="1"/>
  <c r="M57" i="1" s="1"/>
  <c r="L54" i="1"/>
  <c r="X46" i="1" l="1"/>
  <c r="X25" i="1"/>
  <c r="X57" i="1"/>
  <c r="X30" i="1"/>
  <c r="X35" i="1"/>
  <c r="X41" i="1"/>
  <c r="X39" i="1"/>
  <c r="X73" i="1"/>
  <c r="X59" i="1"/>
  <c r="X48" i="1"/>
  <c r="X13" i="1"/>
  <c r="X65" i="1"/>
  <c r="X11" i="1"/>
  <c r="X32" i="1"/>
  <c r="X56" i="1"/>
  <c r="X43" i="1"/>
  <c r="X38" i="1"/>
  <c r="X47" i="1"/>
  <c r="X50" i="1"/>
  <c r="X34" i="1"/>
  <c r="X23" i="1"/>
  <c r="X42" i="1"/>
  <c r="X66" i="1"/>
  <c r="X74" i="1"/>
  <c r="X16" i="1"/>
  <c r="X26" i="1"/>
  <c r="X44" i="1"/>
  <c r="X45" i="1"/>
  <c r="X10" i="1"/>
  <c r="X37" i="1"/>
  <c r="X72" i="1"/>
  <c r="X67" i="1"/>
  <c r="X18" i="1"/>
  <c r="X76" i="1"/>
  <c r="X53" i="1"/>
  <c r="AC45" i="1"/>
  <c r="AC44" i="1"/>
  <c r="AA2" i="1"/>
  <c r="AC54" i="1"/>
  <c r="AC52" i="1"/>
  <c r="AC68" i="1"/>
  <c r="P69" i="1"/>
  <c r="P70" i="1" s="1"/>
  <c r="P71" i="1" s="1"/>
  <c r="P72" i="1" s="1"/>
  <c r="P73" i="1" s="1"/>
  <c r="AC50" i="1"/>
  <c r="AC49" i="1"/>
  <c r="AC48" i="1"/>
  <c r="G73" i="1"/>
  <c r="T2" i="1" s="1"/>
  <c r="N71" i="1"/>
  <c r="M58" i="1"/>
  <c r="M59" i="1" s="1"/>
  <c r="M60" i="1" s="1"/>
  <c r="L55" i="1"/>
  <c r="L56" i="1" s="1"/>
  <c r="L57" i="1" s="1"/>
  <c r="L58" i="1" s="1"/>
  <c r="L59" i="1" s="1"/>
  <c r="L60" i="1" s="1"/>
  <c r="L61" i="1" s="1"/>
  <c r="L62" i="1" s="1"/>
  <c r="L63" i="1" s="1"/>
  <c r="L64" i="1" s="1"/>
  <c r="L65" i="1" s="1"/>
  <c r="L66" i="1" s="1"/>
  <c r="G74" i="1" l="1"/>
  <c r="G75" i="1" s="1"/>
  <c r="AC73" i="1"/>
  <c r="P74" i="1"/>
  <c r="N72" i="1"/>
  <c r="N73" i="1" s="1"/>
  <c r="L67" i="1"/>
  <c r="M61" i="1"/>
  <c r="T75" i="1" l="1"/>
  <c r="T76" i="1"/>
  <c r="AC51" i="1"/>
  <c r="P75" i="1"/>
  <c r="T6" i="1"/>
  <c r="T3" i="1"/>
  <c r="T5" i="1"/>
  <c r="T4" i="1"/>
  <c r="T74" i="1"/>
  <c r="T73" i="1"/>
  <c r="T71" i="1"/>
  <c r="T34" i="1"/>
  <c r="T40" i="1"/>
  <c r="T58" i="1"/>
  <c r="T64" i="1"/>
  <c r="T47" i="1"/>
  <c r="T66" i="1"/>
  <c r="T49" i="1"/>
  <c r="T50" i="1"/>
  <c r="T17" i="1"/>
  <c r="T33" i="1"/>
  <c r="T44" i="1"/>
  <c r="T68" i="1"/>
  <c r="T48" i="1"/>
  <c r="T9" i="1"/>
  <c r="T46" i="1"/>
  <c r="T15" i="1"/>
  <c r="T65" i="1"/>
  <c r="T67" i="1"/>
  <c r="T24" i="1"/>
  <c r="T57" i="1"/>
  <c r="T36" i="1"/>
  <c r="T43" i="1"/>
  <c r="T51" i="1"/>
  <c r="T20" i="1"/>
  <c r="T60" i="1"/>
  <c r="T39" i="1"/>
  <c r="T8" i="1"/>
  <c r="T72" i="1"/>
  <c r="T13" i="1"/>
  <c r="T10" i="1"/>
  <c r="T7" i="1"/>
  <c r="T11" i="1"/>
  <c r="T37" i="1"/>
  <c r="T35" i="1"/>
  <c r="T23" i="1"/>
  <c r="T28" i="1"/>
  <c r="T53" i="1"/>
  <c r="T59" i="1"/>
  <c r="T27" i="1"/>
  <c r="T70" i="1"/>
  <c r="T52" i="1"/>
  <c r="T22" i="1"/>
  <c r="T14" i="1"/>
  <c r="T31" i="1"/>
  <c r="T29" i="1"/>
  <c r="T55" i="1"/>
  <c r="T56" i="1"/>
  <c r="T61" i="1"/>
  <c r="T12" i="1"/>
  <c r="T16" i="1"/>
  <c r="T30" i="1"/>
  <c r="T25" i="1"/>
  <c r="T26" i="1"/>
  <c r="T32" i="1"/>
  <c r="T63" i="1"/>
  <c r="T69" i="1"/>
  <c r="T54" i="1"/>
  <c r="T42" i="1"/>
  <c r="T45" i="1"/>
  <c r="T21" i="1"/>
  <c r="T19" i="1"/>
  <c r="T62" i="1"/>
  <c r="T18" i="1"/>
  <c r="T41" i="1"/>
  <c r="T38" i="1"/>
  <c r="N74" i="1"/>
  <c r="AC74" i="1"/>
  <c r="AC57" i="1"/>
  <c r="AC56" i="1"/>
  <c r="AC66" i="1"/>
  <c r="AC67" i="1"/>
  <c r="AC62" i="1"/>
  <c r="AC59" i="1"/>
  <c r="AC65" i="1"/>
  <c r="AC64" i="1"/>
  <c r="AC63" i="1"/>
  <c r="AC61" i="1"/>
  <c r="AC60" i="1"/>
  <c r="AC69" i="1"/>
  <c r="AC70" i="1"/>
  <c r="AC58" i="1"/>
  <c r="AC71" i="1"/>
  <c r="AC72" i="1"/>
  <c r="AC42" i="1"/>
  <c r="AC37" i="1"/>
  <c r="AC43" i="1"/>
  <c r="AC41" i="1"/>
  <c r="AC47" i="1"/>
  <c r="AC40" i="1"/>
  <c r="AC39" i="1"/>
  <c r="AC55" i="1"/>
  <c r="AC46" i="1"/>
  <c r="L68" i="1"/>
  <c r="M62" i="1"/>
  <c r="Y2" i="1"/>
  <c r="AC75" i="1" l="1"/>
  <c r="P76" i="1"/>
  <c r="AC76" i="1" s="1"/>
  <c r="AA44" i="1"/>
  <c r="N75" i="1"/>
  <c r="AA3" i="1"/>
  <c r="AA58" i="1"/>
  <c r="AA72" i="1"/>
  <c r="AA73" i="1"/>
  <c r="AA21" i="1"/>
  <c r="AA27" i="1"/>
  <c r="AA10" i="1"/>
  <c r="AA22" i="1"/>
  <c r="AA13" i="1"/>
  <c r="AA6" i="1"/>
  <c r="AA43" i="1"/>
  <c r="AA31" i="1"/>
  <c r="AA30" i="1"/>
  <c r="AA59" i="1"/>
  <c r="AA14" i="1"/>
  <c r="AA23" i="1"/>
  <c r="AA54" i="1"/>
  <c r="AA65" i="1"/>
  <c r="AA47" i="1"/>
  <c r="AA17" i="1"/>
  <c r="AA8" i="1"/>
  <c r="AA39" i="1"/>
  <c r="AA61" i="1"/>
  <c r="AA18" i="1"/>
  <c r="AA15" i="1"/>
  <c r="AA70" i="1"/>
  <c r="AA25" i="1"/>
  <c r="AA37" i="1"/>
  <c r="AA28" i="1"/>
  <c r="AA68" i="1"/>
  <c r="AA19" i="1"/>
  <c r="AA38" i="1"/>
  <c r="AA62" i="1"/>
  <c r="AA63" i="1"/>
  <c r="AA60" i="1"/>
  <c r="AA66" i="1"/>
  <c r="AA64" i="1"/>
  <c r="AA71" i="1"/>
  <c r="AA45" i="1"/>
  <c r="AA50" i="1"/>
  <c r="AA55" i="1"/>
  <c r="AA46" i="1"/>
  <c r="AA29" i="1"/>
  <c r="AA16" i="1"/>
  <c r="AA67" i="1"/>
  <c r="AA7" i="1"/>
  <c r="AA20" i="1"/>
  <c r="AA48" i="1"/>
  <c r="AA49" i="1"/>
  <c r="AA33" i="1"/>
  <c r="AA40" i="1"/>
  <c r="AA35" i="1"/>
  <c r="AA42" i="1"/>
  <c r="AA12" i="1"/>
  <c r="AA34" i="1"/>
  <c r="AA9" i="1"/>
  <c r="AA36" i="1"/>
  <c r="AA41" i="1"/>
  <c r="AA5" i="1"/>
  <c r="AA32" i="1"/>
  <c r="AA69" i="1"/>
  <c r="AA56" i="1"/>
  <c r="AA24" i="1"/>
  <c r="AA11" i="1"/>
  <c r="AA52" i="1"/>
  <c r="AA26" i="1"/>
  <c r="AA4" i="1"/>
  <c r="AA57" i="1"/>
  <c r="AA74" i="1"/>
  <c r="AA51" i="1"/>
  <c r="L69" i="1"/>
  <c r="M63" i="1"/>
  <c r="M64" i="1" s="1"/>
  <c r="M65" i="1" s="1"/>
  <c r="M66" i="1" s="1"/>
  <c r="AC53" i="1" l="1"/>
  <c r="AA75" i="1"/>
  <c r="N76" i="1"/>
  <c r="L70" i="1"/>
  <c r="M67" i="1"/>
  <c r="AA76" i="1" l="1"/>
  <c r="AA53" i="1"/>
  <c r="L71" i="1"/>
  <c r="L72" i="1" s="1"/>
  <c r="L73" i="1" s="1"/>
  <c r="M68" i="1"/>
  <c r="L74" i="1" l="1"/>
  <c r="L75" i="1" s="1"/>
  <c r="M69" i="1"/>
  <c r="L76" i="1" l="1"/>
  <c r="Y76" i="1" s="1"/>
  <c r="Y69" i="1"/>
  <c r="Y63" i="1"/>
  <c r="Y20" i="1"/>
  <c r="Y64" i="1"/>
  <c r="Y16" i="1"/>
  <c r="Y27" i="1"/>
  <c r="Y48" i="1"/>
  <c r="Y38" i="1"/>
  <c r="Y19" i="1"/>
  <c r="Y43" i="1"/>
  <c r="Y36" i="1"/>
  <c r="Y39" i="1"/>
  <c r="Y37" i="1"/>
  <c r="Y14" i="1"/>
  <c r="Y10" i="1"/>
  <c r="Y53" i="1"/>
  <c r="Y61" i="1"/>
  <c r="Y59" i="1"/>
  <c r="Y60" i="1"/>
  <c r="Y12" i="1"/>
  <c r="Y44" i="1"/>
  <c r="Y40" i="1"/>
  <c r="Y8" i="1"/>
  <c r="Y26" i="1"/>
  <c r="Y21" i="1"/>
  <c r="Y52" i="1"/>
  <c r="Y35" i="1"/>
  <c r="Y54" i="1"/>
  <c r="Y28" i="1"/>
  <c r="Y49" i="1"/>
  <c r="Y34" i="1"/>
  <c r="Y22" i="1"/>
  <c r="Y72" i="1"/>
  <c r="Y68" i="1"/>
  <c r="Y67" i="1"/>
  <c r="Y58" i="1"/>
  <c r="Y57" i="1"/>
  <c r="Y62" i="1"/>
  <c r="Y25" i="1"/>
  <c r="Y18" i="1"/>
  <c r="Y7" i="1"/>
  <c r="Y55" i="1"/>
  <c r="Y11" i="1"/>
  <c r="Y5" i="1"/>
  <c r="Y29" i="1"/>
  <c r="Y46" i="1"/>
  <c r="Y41" i="1"/>
  <c r="Y6" i="1"/>
  <c r="Y32" i="1"/>
  <c r="Y47" i="1"/>
  <c r="Y66" i="1"/>
  <c r="Y65" i="1"/>
  <c r="Y56" i="1"/>
  <c r="Y17" i="1"/>
  <c r="Y23" i="1"/>
  <c r="Y42" i="1"/>
  <c r="Y45" i="1"/>
  <c r="Y15" i="1"/>
  <c r="Y33" i="1"/>
  <c r="Y50" i="1"/>
  <c r="Y24" i="1"/>
  <c r="Y9" i="1"/>
  <c r="Y30" i="1"/>
  <c r="Y13" i="1"/>
  <c r="Y4" i="1"/>
  <c r="Y71" i="1"/>
  <c r="Y70" i="1"/>
  <c r="Y3" i="1"/>
  <c r="Y73" i="1"/>
  <c r="Y31" i="1"/>
  <c r="Y74" i="1"/>
  <c r="Y51" i="1"/>
  <c r="M70" i="1"/>
  <c r="Y75" i="1" l="1"/>
  <c r="M71" i="1"/>
  <c r="M72" i="1" l="1"/>
  <c r="M73" i="1" l="1"/>
  <c r="M74" i="1" l="1"/>
  <c r="M75" i="1" s="1"/>
  <c r="M76" i="1" l="1"/>
  <c r="Z76" i="1" s="1"/>
  <c r="Z2" i="1"/>
  <c r="Z27" i="1"/>
  <c r="Z64" i="1"/>
  <c r="Z13" i="1"/>
  <c r="Z24" i="1"/>
  <c r="Z46" i="1"/>
  <c r="Z17" i="1"/>
  <c r="Z41" i="1"/>
  <c r="Z56" i="1"/>
  <c r="Z53" i="1"/>
  <c r="Z49" i="1"/>
  <c r="Z25" i="1"/>
  <c r="Z14" i="1"/>
  <c r="Z61" i="1"/>
  <c r="Z52" i="1"/>
  <c r="Z54" i="1"/>
  <c r="Z37" i="1"/>
  <c r="Z62" i="1"/>
  <c r="Z16" i="1"/>
  <c r="Z43" i="1"/>
  <c r="Z19" i="1"/>
  <c r="Z68" i="1"/>
  <c r="Z34" i="1"/>
  <c r="Z55" i="1"/>
  <c r="Z44" i="1"/>
  <c r="Z63" i="1"/>
  <c r="Z10" i="1"/>
  <c r="Z65" i="1"/>
  <c r="Z7" i="1"/>
  <c r="Z22" i="1"/>
  <c r="Z3" i="1"/>
  <c r="Z40" i="1"/>
  <c r="Z69" i="1"/>
  <c r="Z58" i="1"/>
  <c r="Z31" i="1"/>
  <c r="Z72" i="1"/>
  <c r="Z74" i="1"/>
  <c r="Z51" i="1" l="1"/>
  <c r="Z71" i="1"/>
  <c r="Z12" i="1"/>
  <c r="Z73" i="1"/>
  <c r="Z70" i="1"/>
  <c r="Z47" i="1"/>
  <c r="Z18" i="1"/>
  <c r="Z8" i="1"/>
  <c r="Z45" i="1"/>
  <c r="Z15" i="1"/>
  <c r="Z35" i="1"/>
  <c r="Z5" i="1"/>
  <c r="Z20" i="1"/>
  <c r="Z67" i="1"/>
  <c r="Z9" i="1"/>
  <c r="Z39" i="1"/>
  <c r="Z11" i="1"/>
  <c r="Z30" i="1"/>
  <c r="Z60" i="1"/>
  <c r="Z28" i="1"/>
  <c r="Z42" i="1"/>
  <c r="Z59" i="1"/>
  <c r="Z23" i="1"/>
  <c r="Z50" i="1"/>
  <c r="Z57" i="1"/>
  <c r="Z33" i="1"/>
  <c r="Z38" i="1"/>
  <c r="Z66" i="1"/>
  <c r="Z29" i="1"/>
  <c r="Z36" i="1"/>
  <c r="Z32" i="1"/>
  <c r="Z26" i="1"/>
  <c r="Z4" i="1"/>
  <c r="Z6" i="1"/>
  <c r="Z21" i="1"/>
  <c r="Z48" i="1"/>
  <c r="Z75"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shape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<sst xmlns="http://schemas.openxmlformats.org/spreadsheetml/2006/main" count="893" uniqueCount="537">
  <si>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</si>
  <si>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</si>
  <si>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</si>
  <si>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</si>
  <si>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</si>
  <si>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</si>
  <si>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</si>
  <si>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</si>
  <si>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</si>
  <si>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</si>
  <si>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</si>
  <si>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</si>
  <si>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</si>
  <si>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</si>
  <si>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</si>
  <si>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</si>
  <si>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</si>
  <si>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</si>
  <si>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</si>
  <si>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</si>
  <si>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</si>
  <si>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</si>
  <si>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</si>
  <si>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</si>
  <si>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</si>
  <si>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</si>
  <si>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</si>
  <si>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</si>
  <si>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</si>
  <si>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</si>
  <si>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</si>
  <si>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</si>
  <si>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</si>
  <si>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</si>
  <si>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</si>
  <si>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</si>
  <si>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</si>
  <si>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</si>
  <si>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</si>
  <si>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</si>
  <si>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</si>
  <si>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</si>
  <si>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</si>
  <si>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</si>
  <si>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</si>
  <si>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</si>
  <si>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</si>
  <si>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</si>
  <si>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</si>
  <si>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</si>
  <si>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</si>
  <si>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</si>
  <si>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</si>
  <si>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</si>
  <si>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</si>
  <si>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</si>
  <si>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</si>
  <si>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</si>
  <si>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</si>
  <si>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</si>
  <si>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</si>
  <si>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</si>
  <si>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</si>
  <si>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</si>
  <si>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</si>
  <si>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</si>
  <si>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</si>
  <si>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</si>
  <si>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</si>
  <si>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</si>
  <si>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</si>
  <si>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</si>
  <si>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</si>
  <si>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</si>
  <si>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</si>
  <si>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</si>
  <si>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</si>
  <si>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</si>
  <si>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</si>
  <si>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</si>
  <si>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</si>
  <si>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</si>
  <si>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</si>
  <si>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</si>
  <si>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</si>
  <si>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</si>
  <si>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</si>
  <si>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</si>
  <si>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</si>
  <si>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</si>
  <si>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</si>
  <si>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</si>
  <si>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</si>
  <si>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</si>
  <si>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</si>
  <si>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</si>
  <si>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</si>
  <si>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</si>
  <si>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</si>
  <si>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</si>
  <si>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</si>
  <si>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</si>
  <si>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</si>
  <si>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</si>
  <si>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</si>
  <si>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</si>
  <si>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</si>
  <si>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</si>
  <si>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</si>
  <si>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</si>
  <si>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</si>
  <si>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</si>
  <si>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</si>
  <si>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</si>
  <si>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</si>
  <si>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</si>
  <si>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</si>
  <si>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</si>
  <si>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</si>
  <si>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</si>
  <si>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</si>
  <si>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</si>
  <si>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</si>
  <si>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</si>
  <si>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</si>
  <si>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</si>
  <si>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</si>
  <si>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</si>
  <si>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</si>
  <si>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</si>
  <si>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</si>
  <si>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</si>
  <si>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</si>
  <si>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</si>
  <si>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</si>
  <si>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</si>
  <si>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</si>
  <si>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</si>
  <si>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</si>
  <si>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</si>
  <si>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</si>
  <si>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</si>
  <si>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</si>
  <si>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</si>
  <si>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</si>
  <si>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</si>
  <si>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</si>
  <si>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</si>
  <si>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</si>
  <si>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</si>
  <si>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</si>
  <si>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</si>
  <si>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</si>
  <si>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</si>
  <si>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</si>
  <si>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</si>
  <si>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</si>
  <si>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</si>
  <si>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</si>
  <si>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</si>
  <si>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</si>
  <si>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</si>
  <si>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</si>
  <si>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</si>
  <si>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</si>
  <si>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</si>
  <si>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</si>
  <si>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</si>
  <si>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</si>
  <si>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</si>
  <si>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</si>
  <si>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</si>
  <si>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</si>
  <si>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</si>
  <si>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</si>
  <si>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</si>
  <si>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</si>
  <si>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</si>
  <si>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</si>
  <si>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</si>
  <si>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</si>
  <si>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</si>
  <si>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</si>
  <si>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</si>
  <si>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</si>
  <si>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</si>
  <si>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</si>
  <si>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</si>
  <si>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</si>
  <si>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</si>
  <si>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</si>
  <si>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</si>
  <si>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</si>
  <si>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</si>
  <si>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</si>
  <si>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</si>
  <si>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</si>
  <si>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</si>
  <si>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</si>
  <si>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</si>
  <si>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</si>
  <si>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</si>
  <si>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</si>
  <si>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</si>
  <si>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</si>
  <si>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</si>
  <si>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</si>
  <si>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</si>
  <si>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</si>
  <si>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</si>
  <si>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</si>
  <si>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</si>
  <si>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</si>
  <si>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</si>
  <si>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</si>
  <si>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</si>
  <si>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</si>
  <si>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</si>
  <si>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</si>
  <si>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</si>
  <si>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</si>
  <si>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</si>
  <si>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</si>
  <si>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</si>
  <si>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</si>
  <si>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</si>
  <si>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</si>
  <si>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</si>
  <si>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</si>
  <si>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</si>
  <si>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</si>
  <si>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</si>
  <si>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</si>
  <si>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</si>
  <si>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</si>
  <si>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</si>
  <si>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</si>
  <si>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</si>
  <si>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</si>
  <si>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</si>
  <si>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</si>
  <si>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</si>
  <si>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</si>
  <si>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</si>
  <si>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</si>
  <si>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</si>
  <si>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</si>
  <si>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</si>
  <si>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</si>
  <si>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</si>
  <si>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</si>
  <si>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</si>
  <si>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</si>
  <si>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</si>
  <si>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</si>
  <si>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</si>
  <si>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</si>
  <si>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</si>
  <si>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</si>
  <si>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</si>
  <si>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</si>
  <si>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</si>
  <si>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</si>
  <si>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</si>
  <si>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</si>
  <si>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</si>
  <si>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</si>
  <si>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</si>
  <si>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</si>
  <si>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</si>
  <si>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</si>
  <si>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</si>
  <si>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</si>
  <si>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</si>
  <si>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</si>
  <si>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</si>
  <si>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</si>
  <si>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</si>
  <si>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</si>
  <si>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</si>
  <si>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</si>
  <si>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</si>
  <si>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</si>
  <si>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</si>
  <si>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</si>
  <si>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</si>
  <si>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</si>
  <si>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</si>
  <si>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</si>
  <si>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</si>
  <si>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</si>
  <si>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</si>
  <si>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</si>
  <si>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</si>
  <si>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</si>
  <si>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</si>
  <si>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</si>
  <si>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</si>
  <si>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</si>
  <si>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</si>
  <si>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</si>
  <si>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</si>
  <si>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</si>
  <si>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</si>
  <si>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</si>
  <si>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</si>
  <si>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</si>
  <si>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</si>
  <si>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</si>
  <si>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</si>
  <si>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</si>
  <si>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</si>
  <si>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</si>
  <si>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</si>
  <si>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</si>
  <si>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</si>
  <si>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</si>
  <si>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</si>
  <si>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</si>
  <si>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</si>
  <si>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</si>
  <si>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</si>
  <si>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</si>
  <si>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</si>
  <si>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</si>
  <si>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</si>
  <si>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</si>
  <si>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</si>
  <si>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</si>
  <si>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</si>
  <si>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</si>
  <si>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</si>
  <si>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</si>
  <si>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</si>
  <si>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</si>
  <si>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</si>
  <si>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</si>
  <si>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</si>
  <si>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</si>
  <si>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</si>
  <si>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</si>
  <si>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</si>
  <si>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</si>
  <si>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</si>
  <si>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</si>
  <si>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</si>
  <si>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</si>
  <si>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</si>
  <si>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</si>
  <si>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</si>
  <si>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</si>
  <si>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</si>
  <si>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</si>
  <si>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</si>
  <si>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</si>
  <si>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</si>
  <si>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</si>
  <si>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</si>
  <si>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</si>
  <si>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</si>
  <si>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</si>
  <si>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</si>
  <si>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</si>
  <si>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</si>
  <si>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</si>
  <si>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</si>
  <si>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</si>
  <si>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</si>
  <si>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</si>
  <si>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</si>
  <si>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</si>
  <si>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</si>
  <si>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</si>
  <si>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</si>
  <si>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</si>
  <si>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</si>
  <si>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</si>
  <si>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</si>
  <si>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</si>
  <si>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</si>
  <si>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</si>
  <si>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</si>
  <si>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</si>
  <si>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</si>
  <si>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</si>
  <si>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</si>
  <si>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</si>
  <si>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</si>
  <si>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</si>
  <si>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</si>
  <si>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</si>
  <si>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</si>
  <si>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</si>
  <si>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</si>
  <si>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</si>
  <si>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</si>
  <si>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</si>
  <si>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</si>
  <si>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</si>
  <si>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</si>
  <si>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</si>
  <si>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</si>
  <si>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</si>
  <si>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</si>
  <si>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</si>
  <si>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</si>
  <si>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</si>
  <si>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</si>
  <si>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</si>
  <si>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</si>
  <si>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</si>
  <si>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</si>
  <si>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</si>
  <si>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</si>
  <si>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</si>
  <si>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</si>
  <si>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</si>
  <si>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</si>
  <si>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</si>
  <si>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</si>
  <si>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</si>
  <si>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</si>
  <si>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</si>
  <si>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</si>
  <si>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</si>
  <si>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</si>
  <si>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</si>
  <si>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</si>
  <si>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</si>
  <si>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</si>
  <si>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</si>
  <si>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</si>
  <si>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</si>
  <si>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</si>
  <si>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</si>
  <si>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</si>
  <si>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</si>
  <si>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</si>
  <si>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</si>
  <si>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</si>
  <si>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</si>
  <si>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</si>
  <si>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</si>
  <si>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</si>
  <si>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</si>
  <si>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</si>
  <si>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</si>
  <si>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</si>
  <si>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</si>
  <si>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</si>
  <si>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</si>
  <si>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</si>
  <si>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</si>
  <si>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</si>
  <si>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</si>
  <si>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</si>
  <si>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</si>
  <si>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</si>
  <si>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</si>
  <si>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</si>
  <si>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</si>
  <si>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</si>
  <si>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</si>
  <si>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</si>
  <si>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</si>
  <si>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</si>
  <si>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</si>
  <si>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</si>
  <si>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</si>
  <si>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</si>
  <si>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</si>
  <si>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</si>
  <si>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</si>
  <si>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</si>
  <si>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</si>
  <si>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</si>
  <si>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</si>
  <si>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</si>
  <si>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</si>
  <si>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</si>
  <si>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</si>
  <si>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</si>
  <si>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</si>
  <si>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</si>
  <si>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</si>
  <si>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</si>
  <si>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</si>
  <si>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</si>
  <si>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</si>
  <si>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</si>
  <si>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</si>
  <si>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</si>
  <si>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</si>
  <si>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</si>
  <si>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</si>
  <si>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</si>
  <si>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</si>
  <si>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</si>
  <si>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</si>
  <si>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</si>
  <si>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</si>
  <si>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</si>
  <si>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</si>
  <si>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</si>
  <si>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</si>
  <si>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</si>
  <si>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</si>
  <si>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</si>
  <si>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</si>
  <si>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</si>
  <si>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</si>
  <si>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</si>
  <si>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</si>
  <si>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</si>
  <si>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</si>
  <si>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</si>
  <si>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</si>
  <si>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</si>
  <si>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</si>
  <si>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</si>
  <si>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</si>
  <si>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100 ml</t>
  </si>
  <si>
    <t>Abbot Whisper MS</t>
  </si>
  <si>
    <t>Abbot Whisper LS</t>
  </si>
  <si>
    <t>20 ml</t>
  </si>
  <si>
    <t>13:48</t>
  </si>
  <si>
    <t>Митькин И.Ю.</t>
  </si>
  <si>
    <t>Правый</t>
  </si>
  <si>
    <t>стеноз дистальной трети 30%</t>
  </si>
  <si>
    <t>стеноз устья 40%, на границе проксимального и среднего сегмента определяется тотальная окклюзия с градацией  антеградного кровотока  TIMI 0. TTG0. Rentrop 3 из бассейна ПКА</t>
  </si>
  <si>
    <t>бассейн представлен доминантной ВТК со стенозами прокс/3 40%, в средней трети определяется нестабильный эксцентричный стеноз 80%. Антеградный кровоток  TIMI III.</t>
  </si>
  <si>
    <t>приустьевой эксцентричный стеноз 50%, диффузный стеноз на протяжении проксимального сегмента 60%, стеноз локальный среднего сегмента 80%. Антеградный кровоток  TIMI III.</t>
  </si>
  <si>
    <t>С учётом клиники, данных каг и коронарографии совместно с д/кардиологом принято решение в пользу реканализации ПНА и ЧКВ бассейна ОА в экстренном порядке.</t>
  </si>
  <si>
    <t>200 ml</t>
  </si>
  <si>
    <t>Устье ствола ЛКА катетеризировано проводниковым катетером Launcher EBU 3.5 6Fr. Коронарный проводник pilot 150 удалось провести за зону окклюзии ПНА.  Предилатация и реканализация ПНА выполнена БК Колибри 2,0-15 мм, давлением 12 атм. В зону стенозов среднего сегмента с частичным покрытием проксимального сегмента ПНА последовательно с оверлапингом имплантированы стент DES Resolute Integrity 3,0-30 мм, DES Resolute Integrity 4,0-34 мм  , давлением по 14 атм. Далее рекроссинг проводника в ОА. В зону средней трети ОА с полным покрытием нестабильного стеноза имплантирован стент DES Resolute Integrity 3,5-15 мм, давлением 12 атм. На контрольных съемках стенты раскрыты удовлетворительно, признаков краевых диссекций, тромбоза, экстравазации контрастного вещества не выявлено. Ангиографический результат удовлетворительный. Антеградный кровоток по ПНА востановлен до TIMI III, кровоток по ОА сохранён - TIMI III. Пациент в стабильном состоянии транспортируется в ПРИТ для дальнейшего наблюдения и лечения.</t>
  </si>
  <si>
    <r>
      <t xml:space="preserve">1) Контроль места пункции, повязка  на руке до 6 ч. 2) </t>
    </r>
    <r>
      <rPr>
        <i/>
        <u/>
        <sz val="11"/>
        <color theme="1"/>
        <rFont val="Calibri"/>
        <family val="2"/>
        <charset val="204"/>
        <scheme val="minor"/>
      </rPr>
      <t>Решение вопроса ЧКВ ПКА в плановом порядке</t>
    </r>
  </si>
  <si>
    <t>Pilot 150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</si>
</sst>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sz val="10"/>
      <color theme="1"/>
      <name val="Arial Narrow"/>
      <family val="2"/>
      <charset val="204"/>
    </font>
    <font>
      <b/>
      <sz val="10"/>
      <color theme="1"/>
      <name val="Arial Narrow"/>
      <family val="2"/>
      <charset val="204"/>
    </font>
    <font>
      <i/>
      <u/>
      <sz val="11"/>
      <color theme="1"/>
      <name val="Calibri"/>
      <family val="2"/>
      <charset val="204"/>
      <scheme val="minor"/>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3"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4" fillId="0" borderId="0" xfId="0" applyFont="1" applyAlignment="1">
      <alignment horizontal="centerContinuous" vertical="top" wrapText="1"/>
    </xf>
    <xf numFmtId="0" fontId="64"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5" fillId="0" borderId="12" xfId="0" applyFont="1" applyBorder="1" applyAlignment="1" applyProtection="1">
      <alignment vertical="top" wrapText="1"/>
      <protection locked="0"/>
    </xf>
    <xf numFmtId="0" fontId="66"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5"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7"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4"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8" fillId="7" borderId="0" xfId="5" applyAlignment="1" applyProtection="1">
      <alignment horizontal="justify" vertical="top" wrapText="1"/>
      <protection hidden="1"/>
    </xf>
    <xf numFmtId="0" fontId="69"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70" fillId="0" borderId="0" xfId="0" applyFont="1" applyAlignment="1" applyProtection="1">
      <alignment horizontal="justify" vertical="top" wrapText="1"/>
      <protection locked="0"/>
    </xf>
    <xf numFmtId="0" fontId="71" fillId="0" borderId="0" xfId="0" applyFont="1" applyAlignment="1" applyProtection="1">
      <alignment horizontal="justify" vertical="top" wrapText="1"/>
      <protection locked="0"/>
    </xf>
    <xf numFmtId="0" fontId="71" fillId="0" borderId="13" xfId="0" applyFont="1" applyBorder="1" applyAlignment="1" applyProtection="1">
      <alignment horizontal="justify" vertical="top" wrapText="1"/>
      <protection locked="0"/>
    </xf>
    <xf numFmtId="0" fontId="71" fillId="0" borderId="3" xfId="0" applyFont="1" applyBorder="1" applyAlignment="1" applyProtection="1">
      <alignment horizontal="justify" vertical="top" wrapText="1"/>
      <protection locked="0"/>
    </xf>
    <xf numFmtId="0" fontId="71" fillId="0" borderId="9" xfId="0" applyFont="1" applyBorder="1" applyAlignment="1" applyProtection="1">
      <alignment horizontal="justify" vertical="top" wrapText="1"/>
      <protection locked="0"/>
    </xf>
    <xf numFmtId="0" fontId="62" fillId="0" borderId="5" xfId="0" applyFont="1" applyBorder="1" applyAlignment="1" applyProtection="1">
      <alignment horizontal="justify" vertical="top" wrapText="1"/>
      <protection locked="0"/>
    </xf>
    <xf numFmtId="0" fontId="62" fillId="0" borderId="11" xfId="0" applyFont="1" applyBorder="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1"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68" fillId="0" borderId="12" xfId="0" applyFont="1" applyBorder="1" applyAlignment="1" applyProtection="1">
      <alignment horizontal="justify" vertical="top" wrapText="1"/>
      <protection locked="0"/>
    </xf>
    <xf numFmtId="0" fontId="68" fillId="0" borderId="0" xfId="0" applyFont="1" applyAlignment="1">
      <alignment horizontal="justify" vertical="top" wrapText="1"/>
    </xf>
    <xf numFmtId="0" fontId="68" fillId="0" borderId="13" xfId="0" applyFont="1" applyBorder="1" applyAlignment="1">
      <alignment horizontal="justify" vertical="top" wrapText="1"/>
    </xf>
    <xf numFmtId="0" fontId="68"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97647"/>
        </a:xfrm>
        <a:prstGeom prst="rect">
          <a:avLst/>
        </a:prstGeom>
      </xdr:spPr>
    </xdr:pic>
    <xdr:clientData/>
  </xdr:twoCellAnchor>
  <xdr:twoCellAnchor editAs="oneCell">
    <xdr:from>
      <xdr:col>7</xdr:col>
      <xdr:colOff>295275</xdr:colOff>
      <xdr:row>0</xdr:row>
      <xdr:rowOff>114300</xdr:rowOff>
    </xdr:from>
    <xdr:to>
      <xdr:col>7</xdr:col>
      <xdr:colOff>1019175</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72150" y="114300"/>
          <a:ext cx="723900" cy="704950"/>
        </a:xfrm>
        <a:prstGeom prst="rect">
          <a:avLst/>
        </a:prstGeom>
      </xdr:spPr>
    </xdr:pic>
    <xdr:clientData/>
  </xdr:twoCellAnchor>
  <xdr:twoCellAnchor editAs="oneCell">
    <xdr:from>
      <xdr:col>0</xdr:col>
      <xdr:colOff>66675</xdr:colOff>
      <xdr:row>40</xdr:row>
      <xdr:rowOff>28575</xdr:rowOff>
    </xdr:from>
    <xdr:to>
      <xdr:col>1</xdr:col>
      <xdr:colOff>1428750</xdr:colOff>
      <xdr:row>48</xdr:row>
      <xdr:rowOff>171450</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5"/>
          <a:ext cx="2619375" cy="1590675"/>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6"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0" totalsRowShown="0">
  <autoFilter ref="A21:B90"/>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8"/>
  <sheetViews>
    <sheetView showGridLines="0" tabSelected="1" showWhiteSpace="0" zoomScaleNormal="100" zoomScaleSheetLayoutView="100" zoomScalePageLayoutView="90" workbookViewId="0">
      <selection activeCell="I46" sqref="I46"/>
    </sheetView>
  </sheetViews>
  <sheetFormatPr defaultColWidth="0" defaultRowHeight="15" zeroHeight="1"/>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style="209" customWidth="1"/>
    <col min="10" max="10" width="7.28515625" style="209" customWidth="1"/>
    <col min="11" max="13" width="0" style="209" hidden="1" customWidth="1"/>
    <col min="14" max="16384" width="8.85546875" style="209" hidden="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8" t="s">
        <v>213</v>
      </c>
      <c r="B6" s="219"/>
      <c r="C6" s="219"/>
      <c r="D6" s="219"/>
      <c r="E6" s="219"/>
      <c r="F6" s="219"/>
      <c r="G6" s="219"/>
      <c r="H6" s="220"/>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45574</v>
      </c>
      <c r="C8" s="54"/>
      <c r="D8" s="16" t="s">
        <v>186</v>
      </c>
      <c r="E8" s="29"/>
      <c r="F8" s="29"/>
      <c r="G8" s="17"/>
      <c r="H8" s="18"/>
    </row>
    <row r="9" spans="1:8" ht="15.6" customHeight="1">
      <c r="A9" s="21" t="s">
        <v>193</v>
      </c>
      <c r="B9" s="22">
        <v>0.77777777777777779</v>
      </c>
      <c r="C9" s="54"/>
      <c r="D9" s="94" t="s">
        <v>172</v>
      </c>
      <c r="E9" s="92"/>
      <c r="F9" s="92"/>
      <c r="G9" s="23" t="s">
        <v>163</v>
      </c>
      <c r="H9" s="25"/>
    </row>
    <row r="10" spans="1:8" ht="15.6" customHeight="1" thickBot="1">
      <c r="A10" s="83" t="s">
        <v>194</v>
      </c>
      <c r="B10" s="84">
        <v>0.78819444444444453</v>
      </c>
      <c r="C10" s="55"/>
      <c r="D10" s="95" t="s">
        <v>173</v>
      </c>
      <c r="E10" s="93"/>
      <c r="F10" s="93"/>
      <c r="G10" s="24" t="s">
        <v>141</v>
      </c>
      <c r="H10" s="26"/>
    </row>
    <row r="11" spans="1:8" ht="17.25" thickTop="1" thickBot="1">
      <c r="A11" s="89" t="s">
        <v>192</v>
      </c>
      <c r="B11" s="203" t="s">
        <v>526</v>
      </c>
      <c r="C11" s="8"/>
      <c r="D11" s="95" t="s">
        <v>170</v>
      </c>
      <c r="E11" s="93"/>
      <c r="F11" s="93"/>
      <c r="G11" s="24" t="s">
        <v>254</v>
      </c>
      <c r="H11" s="26"/>
    </row>
    <row r="12" spans="1:8" ht="16.5" thickTop="1">
      <c r="A12" s="81" t="s">
        <v>8</v>
      </c>
      <c r="B12" s="82">
        <v>26192</v>
      </c>
      <c r="C12" s="12"/>
      <c r="D12" s="95" t="s">
        <v>303</v>
      </c>
      <c r="E12" s="93"/>
      <c r="F12" s="93"/>
      <c r="G12" s="24" t="s">
        <v>178</v>
      </c>
      <c r="H12" s="26"/>
    </row>
    <row r="13" spans="1:8" ht="15.75">
      <c r="A13" s="15" t="s">
        <v>10</v>
      </c>
      <c r="B13" s="30">
        <f>DATEDIF(B12,B8,"y")</f>
        <v>53</v>
      </c>
      <c r="C13" s="12"/>
      <c r="D13" s="95"/>
      <c r="E13" s="93"/>
      <c r="F13" s="93"/>
      <c r="G13" s="24"/>
      <c r="H13" s="26"/>
    </row>
    <row r="14" spans="1:8" ht="15.75">
      <c r="A14" s="15" t="s">
        <v>12</v>
      </c>
      <c r="B14" s="19">
        <v>28702</v>
      </c>
      <c r="C14" s="12"/>
      <c r="D14" s="36"/>
      <c r="E14" s="36"/>
      <c r="F14" s="36"/>
      <c r="G14" s="37"/>
      <c r="H14" s="56"/>
    </row>
    <row r="15" spans="1:8" ht="15.75">
      <c r="A15" s="15" t="s">
        <v>133</v>
      </c>
      <c r="B15" s="19">
        <v>35</v>
      </c>
      <c r="D15" s="36"/>
      <c r="E15" s="36"/>
      <c r="F15" s="36"/>
      <c r="G15" s="165" t="s">
        <v>399</v>
      </c>
      <c r="H15" s="169" t="s">
        <v>525</v>
      </c>
    </row>
    <row r="16" spans="1:8" ht="15.6" customHeight="1">
      <c r="A16" s="15" t="s">
        <v>106</v>
      </c>
      <c r="B16" s="19" t="s">
        <v>312</v>
      </c>
      <c r="D16" s="36"/>
      <c r="E16" s="36"/>
      <c r="F16" s="36"/>
      <c r="G16" s="166" t="s">
        <v>401</v>
      </c>
      <c r="H16" s="164">
        <v>9970</v>
      </c>
    </row>
    <row r="17" spans="1:8" ht="14.45" customHeight="1">
      <c r="A17" s="40"/>
      <c r="B17" s="31"/>
      <c r="C17" s="31"/>
      <c r="D17" s="88"/>
      <c r="E17" s="88"/>
      <c r="F17" s="88"/>
      <c r="G17" s="167" t="s">
        <v>388</v>
      </c>
      <c r="H17" s="168">
        <f>H16*0.0019</f>
        <v>18.943000000000001</v>
      </c>
    </row>
    <row r="18" spans="1:8" ht="14.45" customHeight="1">
      <c r="A18" s="57" t="s">
        <v>188</v>
      </c>
      <c r="B18" s="87" t="s">
        <v>527</v>
      </c>
      <c r="D18" s="28" t="s">
        <v>210</v>
      </c>
      <c r="E18" s="28"/>
      <c r="F18" s="28"/>
      <c r="G18" s="85" t="s">
        <v>189</v>
      </c>
      <c r="H18" s="86" t="s">
        <v>506</v>
      </c>
    </row>
    <row r="19" spans="1:8" ht="14.45" customHeight="1">
      <c r="A19" s="40"/>
      <c r="B19" s="31"/>
      <c r="C19" s="31"/>
      <c r="D19" s="34"/>
      <c r="E19" s="34"/>
      <c r="F19" s="34"/>
      <c r="G19" s="31"/>
      <c r="H19" s="41"/>
    </row>
    <row r="20" spans="1:8" ht="14.45" customHeight="1">
      <c r="A20" s="57" t="s">
        <v>212</v>
      </c>
      <c r="B20" s="221" t="s">
        <v>528</v>
      </c>
      <c r="C20" s="222"/>
      <c r="D20" s="222"/>
      <c r="E20" s="222"/>
      <c r="F20" s="222"/>
      <c r="G20" s="222"/>
      <c r="H20" s="223"/>
    </row>
    <row r="21" spans="1:8">
      <c r="A21" s="58"/>
      <c r="B21" s="224"/>
      <c r="C21" s="224"/>
      <c r="D21" s="224"/>
      <c r="E21" s="224"/>
      <c r="F21" s="224"/>
      <c r="G21" s="224"/>
      <c r="H21" s="225"/>
    </row>
    <row r="22" spans="1:8" ht="15.6" customHeight="1">
      <c r="A22" s="59" t="s">
        <v>271</v>
      </c>
      <c r="B22" s="226" t="s">
        <v>529</v>
      </c>
      <c r="C22" s="226"/>
      <c r="D22" s="226"/>
      <c r="E22" s="226"/>
      <c r="F22" s="226"/>
      <c r="G22" s="226"/>
      <c r="H22" s="227"/>
    </row>
    <row r="23" spans="1:8" ht="14.45" customHeight="1">
      <c r="A23" s="38"/>
      <c r="B23" s="228"/>
      <c r="C23" s="228"/>
      <c r="D23" s="228"/>
      <c r="E23" s="228"/>
      <c r="F23" s="228"/>
      <c r="G23" s="228"/>
      <c r="H23" s="229"/>
    </row>
    <row r="24" spans="1:8" ht="14.45" customHeight="1">
      <c r="A24" s="60"/>
      <c r="B24" s="228"/>
      <c r="C24" s="228"/>
      <c r="D24" s="228"/>
      <c r="E24" s="228"/>
      <c r="F24" s="228"/>
      <c r="G24" s="228"/>
      <c r="H24" s="229"/>
    </row>
    <row r="25" spans="1:8" ht="14.45" customHeight="1">
      <c r="A25" s="38"/>
      <c r="B25" s="228"/>
      <c r="C25" s="228"/>
      <c r="D25" s="228"/>
      <c r="E25" s="228"/>
      <c r="F25" s="228"/>
      <c r="G25" s="228"/>
      <c r="H25" s="229"/>
    </row>
    <row r="26" spans="1:8" ht="14.45" customHeight="1">
      <c r="A26" s="40"/>
      <c r="B26" s="230"/>
      <c r="C26" s="230"/>
      <c r="D26" s="230"/>
      <c r="E26" s="230"/>
      <c r="F26" s="230"/>
      <c r="G26" s="230"/>
      <c r="H26" s="231"/>
    </row>
    <row r="27" spans="1:8" ht="14.45" customHeight="1">
      <c r="A27" s="59" t="s">
        <v>272</v>
      </c>
      <c r="B27" s="226" t="s">
        <v>530</v>
      </c>
      <c r="C27" s="226"/>
      <c r="D27" s="226"/>
      <c r="E27" s="226"/>
      <c r="F27" s="226"/>
      <c r="G27" s="226"/>
      <c r="H27" s="227"/>
    </row>
    <row r="28" spans="1:8" ht="15.6" customHeight="1">
      <c r="A28" s="38"/>
      <c r="B28" s="228"/>
      <c r="C28" s="228"/>
      <c r="D28" s="228"/>
      <c r="E28" s="228"/>
      <c r="F28" s="228"/>
      <c r="G28" s="228"/>
      <c r="H28" s="229"/>
    </row>
    <row r="29" spans="1:8" ht="14.45" customHeight="1">
      <c r="A29" s="38"/>
      <c r="B29" s="228"/>
      <c r="C29" s="228"/>
      <c r="D29" s="228"/>
      <c r="E29" s="228"/>
      <c r="F29" s="228"/>
      <c r="G29" s="228"/>
      <c r="H29" s="229"/>
    </row>
    <row r="30" spans="1:8" ht="14.45" customHeight="1">
      <c r="A30" s="32"/>
      <c r="B30" s="228"/>
      <c r="C30" s="228"/>
      <c r="D30" s="228"/>
      <c r="E30" s="228"/>
      <c r="F30" s="228"/>
      <c r="G30" s="228"/>
      <c r="H30" s="229"/>
    </row>
    <row r="31" spans="1:8" ht="14.45" customHeight="1">
      <c r="A31" s="33"/>
      <c r="B31" s="230"/>
      <c r="C31" s="230"/>
      <c r="D31" s="230"/>
      <c r="E31" s="230"/>
      <c r="F31" s="230"/>
      <c r="G31" s="230"/>
      <c r="H31" s="231"/>
    </row>
    <row r="32" spans="1:8" ht="14.45" customHeight="1">
      <c r="A32" s="59" t="s">
        <v>273</v>
      </c>
      <c r="B32" s="226" t="s">
        <v>531</v>
      </c>
      <c r="C32" s="226"/>
      <c r="D32" s="226"/>
      <c r="E32" s="226"/>
      <c r="F32" s="226"/>
      <c r="G32" s="226"/>
      <c r="H32" s="227"/>
    </row>
    <row r="33" spans="1:8" ht="14.45" customHeight="1">
      <c r="A33" s="38"/>
      <c r="B33" s="228"/>
      <c r="C33" s="228"/>
      <c r="D33" s="228"/>
      <c r="E33" s="228"/>
      <c r="F33" s="228"/>
      <c r="G33" s="228"/>
      <c r="H33" s="229"/>
    </row>
    <row r="34" spans="1:8" ht="15.6" customHeight="1">
      <c r="A34" s="38"/>
      <c r="B34" s="228"/>
      <c r="C34" s="228"/>
      <c r="D34" s="228"/>
      <c r="E34" s="228"/>
      <c r="F34" s="228"/>
      <c r="G34" s="228"/>
      <c r="H34" s="229"/>
    </row>
    <row r="35" spans="1:8" ht="14.45" customHeight="1">
      <c r="A35" s="38"/>
      <c r="B35" s="228"/>
      <c r="C35" s="228"/>
      <c r="D35" s="228"/>
      <c r="E35" s="228"/>
      <c r="F35" s="228"/>
      <c r="G35" s="228"/>
      <c r="H35" s="229"/>
    </row>
    <row r="36" spans="1:8" ht="15.6" customHeight="1">
      <c r="A36" s="38"/>
      <c r="B36" s="228"/>
      <c r="C36" s="228"/>
      <c r="D36" s="228"/>
      <c r="E36" s="228"/>
      <c r="F36" s="228"/>
      <c r="G36" s="228"/>
      <c r="H36" s="229"/>
    </row>
    <row r="37" spans="1:8" ht="14.45" customHeight="1">
      <c r="A37" s="38"/>
      <c r="D37" s="214" t="str">
        <f>IF($A$6=Вмешательства!$D$3,Вмешательства!$F$18,"")</f>
        <v/>
      </c>
      <c r="E37" s="214"/>
      <c r="F37" s="119"/>
      <c r="G37" s="119"/>
      <c r="H37" s="123"/>
    </row>
    <row r="38" spans="1:8" ht="14.45" customHeight="1">
      <c r="A38" s="38"/>
      <c r="C38" s="124"/>
      <c r="D38" s="215"/>
      <c r="E38" s="216"/>
      <c r="F38" s="216"/>
      <c r="G38" s="216"/>
      <c r="H38" s="217"/>
    </row>
    <row r="39" spans="1:8" ht="14.45" customHeight="1">
      <c r="A39" s="35"/>
      <c r="B39" s="119"/>
      <c r="C39" s="124"/>
      <c r="D39" s="216"/>
      <c r="E39" s="216"/>
      <c r="F39" s="216"/>
      <c r="G39" s="216"/>
      <c r="H39" s="217"/>
    </row>
    <row r="40" spans="1:8" ht="14.45" customHeight="1">
      <c r="A40" s="35"/>
      <c r="B40" s="119"/>
      <c r="C40" s="124"/>
      <c r="D40" s="216"/>
      <c r="E40" s="216"/>
      <c r="F40" s="216"/>
      <c r="G40" s="216"/>
      <c r="H40" s="217"/>
    </row>
    <row r="41" spans="1:8" ht="14.45" customHeight="1">
      <c r="A41" s="35"/>
      <c r="B41" s="119"/>
      <c r="C41" s="124"/>
      <c r="D41" s="216"/>
      <c r="E41" s="216"/>
      <c r="F41" s="216"/>
      <c r="G41" s="216"/>
      <c r="H41" s="217"/>
    </row>
    <row r="42" spans="1:8" ht="14.45" customHeight="1">
      <c r="A42" s="35"/>
      <c r="B42" s="119"/>
      <c r="C42" s="125"/>
      <c r="D42" s="127"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11" t="s">
        <v>532</v>
      </c>
      <c r="E43" s="212"/>
      <c r="F43" s="212"/>
      <c r="G43" s="212"/>
      <c r="H43" s="213"/>
    </row>
    <row r="44" spans="1:8" ht="14.45" customHeight="1">
      <c r="A44" s="35"/>
      <c r="B44" s="119"/>
      <c r="C44" s="126"/>
      <c r="D44" s="212"/>
      <c r="E44" s="212"/>
      <c r="F44" s="212"/>
      <c r="G44" s="212"/>
      <c r="H44" s="213"/>
    </row>
    <row r="45" spans="1:8" ht="14.45" customHeight="1">
      <c r="A45" s="35"/>
      <c r="B45" s="119"/>
      <c r="C45" s="126"/>
      <c r="D45" s="212"/>
      <c r="E45" s="212"/>
      <c r="F45" s="212"/>
      <c r="G45" s="212"/>
      <c r="H45" s="213"/>
    </row>
    <row r="46" spans="1:8">
      <c r="A46" s="35"/>
      <c r="B46" s="119"/>
      <c r="C46" s="126"/>
      <c r="D46" s="212"/>
      <c r="E46" s="212"/>
      <c r="F46" s="212"/>
      <c r="G46" s="212"/>
      <c r="H46" s="213"/>
    </row>
    <row r="47" spans="1:8">
      <c r="A47" s="38"/>
      <c r="C47" s="126"/>
      <c r="D47" s="212"/>
      <c r="E47" s="212"/>
      <c r="F47" s="212"/>
      <c r="G47" s="212"/>
      <c r="H47" s="213"/>
    </row>
    <row r="48" spans="1:8">
      <c r="A48" s="38"/>
      <c r="C48" s="126"/>
      <c r="D48" s="212"/>
      <c r="E48" s="212"/>
      <c r="F48" s="212"/>
      <c r="G48" s="212"/>
      <c r="H48" s="213"/>
    </row>
    <row r="49" spans="1:13">
      <c r="A49" s="38"/>
      <c r="B49" s="205"/>
      <c r="C49" s="206"/>
      <c r="D49" s="212"/>
      <c r="E49" s="212"/>
      <c r="F49" s="212"/>
      <c r="G49" s="212"/>
      <c r="H49" s="213"/>
    </row>
    <row r="50" spans="1:13">
      <c r="A50" s="38"/>
      <c r="D50" s="212"/>
      <c r="E50" s="212"/>
      <c r="F50" s="212"/>
      <c r="G50" s="212"/>
      <c r="H50" s="213"/>
      <c r="M50" s="209" t="s">
        <v>211</v>
      </c>
    </row>
    <row r="51" spans="1:13">
      <c r="A51" s="62" t="s">
        <v>199</v>
      </c>
      <c r="B51" s="63" t="s">
        <v>521</v>
      </c>
      <c r="G51" s="74" t="str">
        <f>$G$9</f>
        <v>Щербаков А.С.</v>
      </c>
      <c r="H51" s="64"/>
    </row>
    <row r="52" spans="1:13">
      <c r="A52" s="38"/>
      <c r="H52" s="39"/>
    </row>
    <row r="53" spans="1:13">
      <c r="A53" s="65" t="s">
        <v>206</v>
      </c>
      <c r="B53" s="66" t="s">
        <v>311</v>
      </c>
      <c r="G53" s="74" t="str">
        <f>IF(ISBLANK(H9),"",H9)</f>
        <v/>
      </c>
      <c r="H53" s="64"/>
    </row>
    <row r="54" spans="1:13">
      <c r="A54" s="40"/>
      <c r="B54" s="31"/>
      <c r="C54" s="31"/>
      <c r="D54" s="31"/>
      <c r="E54" s="31"/>
      <c r="F54" s="31"/>
      <c r="G54" s="31"/>
      <c r="H54" s="41"/>
    </row>
    <row r="55" spans="1:13">
      <c r="A55" s="209"/>
      <c r="B55" s="209"/>
      <c r="C55" s="209"/>
      <c r="D55" s="209"/>
      <c r="E55" s="209"/>
      <c r="F55" s="209"/>
      <c r="G55" s="209"/>
      <c r="H55" s="209"/>
    </row>
    <row r="56" spans="1:13">
      <c r="A56" s="209"/>
      <c r="B56" s="209"/>
      <c r="C56" s="209"/>
      <c r="D56" s="209"/>
      <c r="E56" s="209"/>
      <c r="F56" s="209"/>
      <c r="G56" s="209"/>
      <c r="H56" s="209"/>
    </row>
    <row r="57" spans="1:13">
      <c r="A57" s="209"/>
      <c r="B57" s="209"/>
      <c r="C57" s="209"/>
      <c r="D57" s="209"/>
      <c r="E57" s="209"/>
      <c r="F57" s="209"/>
      <c r="G57" s="209"/>
      <c r="H57" s="209"/>
    </row>
    <row r="58" spans="1:13">
      <c r="A58" s="209"/>
      <c r="B58" s="209"/>
      <c r="C58" s="209"/>
      <c r="D58" s="209"/>
      <c r="E58" s="209"/>
      <c r="F58" s="209"/>
      <c r="G58" s="209"/>
      <c r="H58" s="209"/>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9"/>
  <sheetViews>
    <sheetView showGridLines="0" showWhiteSpace="0" zoomScale="90" zoomScaleNormal="90" zoomScaleSheetLayoutView="100" zoomScalePageLayoutView="90" workbookViewId="0">
      <selection activeCell="I21" sqref="I21"/>
    </sheetView>
  </sheetViews>
  <sheetFormatPr defaultColWidth="0" defaultRowHeight="15" zeroHeight="1"/>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style="209" customWidth="1"/>
    <col min="10" max="10" width="7.28515625" style="209" customWidth="1"/>
    <col min="11" max="12" width="0" hidden="1" customWidth="1"/>
    <col min="13" max="16384" width="8.85546875" hidden="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42" t="s">
        <v>208</v>
      </c>
      <c r="B6" s="243"/>
      <c r="C6" s="243"/>
      <c r="D6" s="243"/>
      <c r="E6" s="243"/>
      <c r="F6" s="243"/>
      <c r="G6" s="243"/>
      <c r="H6" s="244"/>
    </row>
    <row r="7" spans="1:8" ht="21.6" customHeight="1">
      <c r="A7" s="242"/>
      <c r="B7" s="243"/>
      <c r="C7" s="243"/>
      <c r="D7" s="243"/>
      <c r="E7" s="243"/>
      <c r="F7" s="243"/>
      <c r="G7" s="243"/>
      <c r="H7" s="244"/>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41" t="s">
        <v>221</v>
      </c>
      <c r="D8" s="241"/>
      <c r="E8" s="241"/>
      <c r="F8" s="190">
        <v>2</v>
      </c>
      <c r="G8" s="118" t="s">
        <v>309</v>
      </c>
      <c r="H8" s="158"/>
    </row>
    <row r="9" spans="1:8" ht="15.75" thickTop="1">
      <c r="A9" s="52" t="str">
        <f>"Код модели:"&amp;" "&amp;IFERROR(IF(ISBLANK(H8),IF(A6=Вмешательства!D4,INDEX(Код.Модели[#All],MATCH(ЧКВ!B21,Код.Модели[[#All],[Диагноз]],0),MATCH(ЧКВ!C11,Вмешательства!F2:T2,0))," ")," "),"")</f>
        <v>Код модели: 21167</v>
      </c>
      <c r="C9" s="241" t="s">
        <v>209</v>
      </c>
      <c r="D9" s="241"/>
      <c r="E9" s="241"/>
      <c r="F9" s="190">
        <v>1</v>
      </c>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45</v>
      </c>
      <c r="B10" s="189"/>
      <c r="C10" s="245"/>
      <c r="D10" s="245"/>
      <c r="E10" s="245"/>
      <c r="F10" s="193"/>
      <c r="G10" s="118"/>
      <c r="H10" s="39"/>
    </row>
    <row r="11" spans="1:8">
      <c r="A11" s="192"/>
      <c r="B11" s="196"/>
      <c r="C11" s="199">
        <f>SUM(F8:F10)</f>
        <v>3</v>
      </c>
      <c r="H11" s="39"/>
    </row>
    <row r="12" spans="1:8" ht="18.75">
      <c r="A12" s="75" t="s">
        <v>191</v>
      </c>
      <c r="B12" s="20">
        <f>КАГ!B8</f>
        <v>45574</v>
      </c>
      <c r="C12" s="12"/>
      <c r="D12" s="16" t="s">
        <v>186</v>
      </c>
      <c r="E12" s="29"/>
      <c r="F12" s="29"/>
      <c r="G12" s="17"/>
      <c r="H12" s="18"/>
    </row>
    <row r="13" spans="1:8" ht="15.75">
      <c r="A13" s="76" t="s">
        <v>193</v>
      </c>
      <c r="B13" s="22">
        <v>0.78819444444444453</v>
      </c>
      <c r="C13" s="12"/>
      <c r="D13" s="94" t="s">
        <v>172</v>
      </c>
      <c r="E13" s="92"/>
      <c r="F13" s="92"/>
      <c r="G13" s="79" t="str">
        <f>КАГ!G9</f>
        <v>Щербаков А.С.</v>
      </c>
      <c r="H13" s="90" t="str">
        <f>IF(ISBLANK(КАГ!H9),"",КАГ!H9)</f>
        <v/>
      </c>
    </row>
    <row r="14" spans="1:8" ht="15.75">
      <c r="A14" s="76" t="s">
        <v>194</v>
      </c>
      <c r="B14" s="22">
        <v>0.82291666666666663</v>
      </c>
      <c r="C14" s="12"/>
      <c r="D14" s="95" t="s">
        <v>173</v>
      </c>
      <c r="E14" s="93"/>
      <c r="F14" s="93"/>
      <c r="G14" s="80" t="str">
        <f>КАГ!G10</f>
        <v>Черткова О.Н.</v>
      </c>
      <c r="H14" s="91" t="str">
        <f>IF(ISBLANK(КАГ!H10),"",КАГ!H10)</f>
        <v/>
      </c>
    </row>
    <row r="15" spans="1:8" ht="16.5" thickBot="1">
      <c r="A15" s="163" t="s">
        <v>387</v>
      </c>
      <c r="B15" s="188">
        <f>IF(B14&lt;B13,B14+1,B14)-B13</f>
        <v>3.4722222222222099E-2</v>
      </c>
      <c r="D15" s="95" t="s">
        <v>170</v>
      </c>
      <c r="E15" s="93"/>
      <c r="F15" s="93"/>
      <c r="G15" s="80" t="str">
        <f>КАГ!G11</f>
        <v>Молотков А.В.</v>
      </c>
      <c r="H15" s="91" t="str">
        <f>IF(ISBLANK(КАГ!H11),"",КАГ!H11)</f>
        <v/>
      </c>
    </row>
    <row r="16" spans="1:8" ht="17.25" thickTop="1" thickBot="1">
      <c r="A16" s="89" t="s">
        <v>192</v>
      </c>
      <c r="B16" s="201" t="str">
        <f>КАГ!B11</f>
        <v>Митькин И.Ю.</v>
      </c>
      <c r="C16" s="200">
        <f>LEN(КАГ!B11)</f>
        <v>12</v>
      </c>
      <c r="D16" s="95" t="s">
        <v>303</v>
      </c>
      <c r="E16" s="93"/>
      <c r="F16" s="93"/>
      <c r="G16" s="80" t="str">
        <f>КАГ!G12</f>
        <v>Галамага Н.Е.</v>
      </c>
      <c r="H16" s="91" t="str">
        <f>IF(ISBLANK(КАГ!H12),"",КАГ!H12)</f>
        <v/>
      </c>
    </row>
    <row r="17" spans="1:8" ht="16.5" thickTop="1">
      <c r="A17" s="15" t="s">
        <v>8</v>
      </c>
      <c r="B17" s="67">
        <f>КАГ!B12</f>
        <v>26192</v>
      </c>
      <c r="D17" s="95" t="s">
        <v>184</v>
      </c>
      <c r="E17" s="93"/>
      <c r="F17" s="93"/>
      <c r="G17" s="80" t="str">
        <f>IF(ISBLANK(КАГ!G13),"",КАГ!G13)</f>
        <v/>
      </c>
      <c r="H17" s="91" t="str">
        <f>IF(ISBLANK(КАГ!H13),"",КАГ!H13)</f>
        <v/>
      </c>
    </row>
    <row r="18" spans="1:8" ht="15.75">
      <c r="A18" s="15" t="s">
        <v>10</v>
      </c>
      <c r="B18" s="30">
        <f>КАГ!B13</f>
        <v>53</v>
      </c>
      <c r="H18" s="39"/>
    </row>
    <row r="19" spans="1:8" ht="14.45" customHeight="1">
      <c r="A19" s="15" t="s">
        <v>12</v>
      </c>
      <c r="B19" s="68">
        <f>КАГ!B14</f>
        <v>28702</v>
      </c>
      <c r="C19" s="69"/>
      <c r="D19" s="69"/>
      <c r="E19" s="69"/>
      <c r="F19" s="69"/>
      <c r="G19" s="165" t="s">
        <v>399</v>
      </c>
      <c r="H19" s="180" t="str">
        <f>КАГ!H15</f>
        <v>13:48</v>
      </c>
    </row>
    <row r="20" spans="1:8" ht="14.45" customHeight="1">
      <c r="A20" s="15" t="s">
        <v>133</v>
      </c>
      <c r="B20" s="68">
        <f>КАГ!B15</f>
        <v>35</v>
      </c>
      <c r="C20" s="70"/>
      <c r="D20" s="70"/>
      <c r="E20" s="70"/>
      <c r="F20" s="70"/>
      <c r="G20" s="166" t="s">
        <v>401</v>
      </c>
      <c r="H20" s="181">
        <f>КАГ!H16</f>
        <v>9970</v>
      </c>
    </row>
    <row r="21" spans="1:8" ht="14.45" customHeight="1">
      <c r="A21" s="15" t="s">
        <v>106</v>
      </c>
      <c r="B21" s="67" t="str">
        <f>КАГ!B16</f>
        <v>ОКС БПST</v>
      </c>
      <c r="C21" s="70"/>
      <c r="E21" s="71"/>
      <c r="F21" s="71"/>
      <c r="G21" s="167" t="s">
        <v>388</v>
      </c>
      <c r="H21" s="168">
        <f>КАГ!H17</f>
        <v>18.943000000000001</v>
      </c>
    </row>
    <row r="22" spans="1:8" ht="14.45" customHeight="1">
      <c r="A22" s="57" t="str">
        <f>КАГ!G18</f>
        <v>Доступ:</v>
      </c>
      <c r="B22" s="77" t="str">
        <f>КАГ!H18</f>
        <v>лучевой</v>
      </c>
      <c r="C22" s="70"/>
      <c r="D22" s="70"/>
      <c r="E22" s="70"/>
      <c r="F22" s="70"/>
      <c r="G22" s="184" t="str">
        <f>IF(B21=Вмешательства!F3,Вмешательства!F19,"")</f>
        <v/>
      </c>
      <c r="H22" s="185" t="str">
        <f>IF($B$21=Вмешательства!F3,SUM(КАГ!B9+IF($C$16&lt;=10,0.00555555555555556,IF($C$16=11,0.00694444444444444,IF($C$16=12,0.00833333333333333,IF($C$16=13,0.00972222222222222,IF($C$16=14,0.0111111111111111,IF($C$16=15,0.0111111111111111,IF($C$16=16,0.0118055555555556,IF($C$16&gt;=17,0.0138888888888889))))))))),"")</f>
        <v/>
      </c>
    </row>
    <row r="23" spans="1:8" ht="14.45" customHeight="1">
      <c r="A23" s="65" t="s">
        <v>391</v>
      </c>
      <c r="B23" s="172" t="s">
        <v>390</v>
      </c>
      <c r="C23" s="162"/>
      <c r="D23" s="162"/>
      <c r="E23" s="162"/>
      <c r="F23" s="162"/>
      <c r="H23" s="39"/>
    </row>
    <row r="24" spans="1:8" ht="14.45" customHeight="1">
      <c r="A24" s="183" t="s">
        <v>389</v>
      </c>
      <c r="B24" s="170"/>
      <c r="C24" s="170"/>
      <c r="D24" s="170"/>
      <c r="E24" s="170"/>
      <c r="F24" s="170"/>
      <c r="G24" s="170"/>
      <c r="H24" s="171"/>
    </row>
    <row r="25" spans="1:8" ht="14.45" customHeight="1">
      <c r="A25" s="249" t="s">
        <v>534</v>
      </c>
      <c r="B25" s="250"/>
      <c r="C25" s="250"/>
      <c r="D25" s="250"/>
      <c r="E25" s="250"/>
      <c r="F25" s="250"/>
      <c r="G25" s="250"/>
      <c r="H25" s="251"/>
    </row>
    <row r="26" spans="1:8" ht="14.45" customHeight="1">
      <c r="A26" s="252"/>
      <c r="B26" s="250"/>
      <c r="C26" s="250"/>
      <c r="D26" s="250"/>
      <c r="E26" s="250"/>
      <c r="F26" s="250"/>
      <c r="G26" s="250"/>
      <c r="H26" s="251"/>
    </row>
    <row r="27" spans="1:8" ht="14.45" customHeight="1">
      <c r="A27" s="252"/>
      <c r="B27" s="250"/>
      <c r="C27" s="250"/>
      <c r="D27" s="250"/>
      <c r="E27" s="250"/>
      <c r="F27" s="250"/>
      <c r="G27" s="250"/>
      <c r="H27" s="251"/>
    </row>
    <row r="28" spans="1:8" ht="14.45" customHeight="1">
      <c r="A28" s="252"/>
      <c r="B28" s="250"/>
      <c r="C28" s="250"/>
      <c r="D28" s="250"/>
      <c r="E28" s="250"/>
      <c r="F28" s="250"/>
      <c r="G28" s="250"/>
      <c r="H28" s="251"/>
    </row>
    <row r="29" spans="1:8" ht="14.45" customHeight="1">
      <c r="A29" s="252"/>
      <c r="B29" s="250"/>
      <c r="C29" s="250"/>
      <c r="D29" s="250"/>
      <c r="E29" s="250"/>
      <c r="F29" s="250"/>
      <c r="G29" s="250"/>
      <c r="H29" s="251"/>
    </row>
    <row r="30" spans="1:8" ht="14.45" customHeight="1">
      <c r="A30" s="252"/>
      <c r="B30" s="250"/>
      <c r="C30" s="250"/>
      <c r="D30" s="250"/>
      <c r="E30" s="250"/>
      <c r="F30" s="250"/>
      <c r="G30" s="250"/>
      <c r="H30" s="251"/>
    </row>
    <row r="31" spans="1:8" ht="14.45" customHeight="1">
      <c r="A31" s="252"/>
      <c r="B31" s="250"/>
      <c r="C31" s="250"/>
      <c r="D31" s="250"/>
      <c r="E31" s="250"/>
      <c r="F31" s="250"/>
      <c r="G31" s="250"/>
      <c r="H31" s="251"/>
    </row>
    <row r="32" spans="1:8" ht="14.45" customHeight="1">
      <c r="A32" s="252"/>
      <c r="B32" s="250"/>
      <c r="C32" s="250"/>
      <c r="D32" s="250"/>
      <c r="E32" s="250"/>
      <c r="F32" s="250"/>
      <c r="G32" s="250"/>
      <c r="H32" s="251"/>
    </row>
    <row r="33" spans="1:12" ht="14.45" customHeight="1">
      <c r="A33" s="252"/>
      <c r="B33" s="250"/>
      <c r="C33" s="250"/>
      <c r="D33" s="250"/>
      <c r="E33" s="250"/>
      <c r="F33" s="250"/>
      <c r="G33" s="250"/>
      <c r="H33" s="251"/>
    </row>
    <row r="34" spans="1:12" ht="14.45" customHeight="1">
      <c r="A34" s="252"/>
      <c r="B34" s="250"/>
      <c r="C34" s="250"/>
      <c r="D34" s="250"/>
      <c r="E34" s="250"/>
      <c r="F34" s="250"/>
      <c r="G34" s="250"/>
      <c r="H34" s="251"/>
    </row>
    <row r="35" spans="1:12" ht="14.45" customHeight="1">
      <c r="A35" s="252"/>
      <c r="B35" s="250"/>
      <c r="C35" s="250"/>
      <c r="D35" s="250"/>
      <c r="E35" s="250"/>
      <c r="F35" s="250"/>
      <c r="G35" s="250"/>
      <c r="H35" s="251"/>
    </row>
    <row r="36" spans="1:12" ht="14.45" customHeight="1">
      <c r="A36" s="252"/>
      <c r="B36" s="250"/>
      <c r="C36" s="250"/>
      <c r="D36" s="250"/>
      <c r="E36" s="250"/>
      <c r="F36" s="250"/>
      <c r="G36" s="250"/>
      <c r="H36" s="251"/>
    </row>
    <row r="37" spans="1:12" ht="14.45" customHeight="1">
      <c r="A37" s="252"/>
      <c r="B37" s="250"/>
      <c r="C37" s="250"/>
      <c r="D37" s="250"/>
      <c r="E37" s="250"/>
      <c r="F37" s="250"/>
      <c r="G37" s="250"/>
      <c r="H37" s="251"/>
    </row>
    <row r="38" spans="1:12" ht="14.45" customHeight="1">
      <c r="A38" s="177" t="s">
        <v>395</v>
      </c>
      <c r="B38" s="175"/>
      <c r="C38" s="176"/>
      <c r="D38" s="176"/>
      <c r="E38" s="186" t="str">
        <f>IF(A6=Вмешательства!D4,Вмешательства!V16,IF(ЧКВ!A6=Вмешательства!D36,Вмешательства!V16,"-----"))</f>
        <v>СТЕНТ/Ы</v>
      </c>
      <c r="F38" s="176"/>
      <c r="G38" s="179"/>
    </row>
    <row r="39" spans="1:12" ht="15.75">
      <c r="A39" s="173" t="s">
        <v>392</v>
      </c>
      <c r="B39" s="70" t="s">
        <v>394</v>
      </c>
      <c r="C39" s="121"/>
      <c r="D39" s="122" t="s">
        <v>187</v>
      </c>
      <c r="E39" s="72"/>
      <c r="F39" s="72"/>
      <c r="G39" s="72"/>
      <c r="H39" s="73"/>
    </row>
    <row r="40" spans="1:12" ht="14.45" customHeight="1">
      <c r="A40" s="174" t="s">
        <v>393</v>
      </c>
      <c r="B40" s="178" t="s">
        <v>524</v>
      </c>
      <c r="C40" s="120"/>
      <c r="D40" s="246" t="s">
        <v>535</v>
      </c>
      <c r="E40" s="247"/>
      <c r="F40" s="247"/>
      <c r="G40" s="247"/>
      <c r="H40" s="248"/>
    </row>
    <row r="41" spans="1:12" ht="14.45" customHeight="1">
      <c r="A41" s="32"/>
      <c r="B41" s="28"/>
      <c r="C41" s="120"/>
      <c r="D41" s="247"/>
      <c r="E41" s="247"/>
      <c r="F41" s="247"/>
      <c r="G41" s="247"/>
      <c r="H41" s="248"/>
    </row>
    <row r="42" spans="1:12" ht="14.45" customHeight="1">
      <c r="A42" s="32"/>
      <c r="B42" s="28"/>
      <c r="C42" s="120"/>
      <c r="D42" s="247"/>
      <c r="E42" s="247"/>
      <c r="F42" s="247"/>
      <c r="G42" s="247"/>
      <c r="H42" s="248"/>
    </row>
    <row r="43" spans="1:12" ht="14.45" customHeight="1">
      <c r="A43" s="32"/>
      <c r="B43" s="28"/>
      <c r="C43" s="120"/>
      <c r="D43" s="247"/>
      <c r="E43" s="247"/>
      <c r="F43" s="247"/>
      <c r="G43" s="247"/>
      <c r="H43" s="248"/>
    </row>
    <row r="44" spans="1:12" ht="14.45" customHeight="1">
      <c r="A44" s="32"/>
      <c r="B44" s="28"/>
      <c r="C44" s="120"/>
      <c r="D44" s="247"/>
      <c r="E44" s="247"/>
      <c r="F44" s="247"/>
      <c r="G44" s="247"/>
      <c r="H44" s="248"/>
      <c r="L44" s="160"/>
    </row>
    <row r="45" spans="1:12" ht="14.45" customHeight="1">
      <c r="A45" s="32"/>
      <c r="B45" s="28"/>
      <c r="C45" s="120"/>
      <c r="D45" s="247"/>
      <c r="E45" s="247"/>
      <c r="F45" s="247"/>
      <c r="G45" s="247"/>
      <c r="H45" s="248"/>
    </row>
    <row r="46" spans="1:12" ht="14.45" customHeight="1">
      <c r="A46" s="32"/>
      <c r="B46" s="28"/>
      <c r="C46" s="120"/>
      <c r="D46" s="247"/>
      <c r="E46" s="247"/>
      <c r="F46" s="247"/>
      <c r="G46" s="247"/>
      <c r="H46" s="248"/>
    </row>
    <row r="47" spans="1:12" ht="14.45" customHeight="1">
      <c r="A47" s="38"/>
      <c r="C47" s="120"/>
      <c r="D47" s="247"/>
      <c r="E47" s="247"/>
      <c r="F47" s="247"/>
      <c r="G47" s="247"/>
      <c r="H47" s="248"/>
    </row>
    <row r="48" spans="1:12" ht="14.45" customHeight="1">
      <c r="A48" s="38"/>
      <c r="C48" s="120"/>
      <c r="D48" s="247"/>
      <c r="E48" s="247"/>
      <c r="F48" s="247"/>
      <c r="G48" s="247"/>
      <c r="H48" s="248"/>
    </row>
    <row r="49" spans="1:8" ht="14.45" customHeight="1">
      <c r="A49" s="38"/>
      <c r="C49" s="120"/>
      <c r="D49" s="247"/>
      <c r="E49" s="247"/>
      <c r="F49" s="247"/>
      <c r="G49" s="247"/>
      <c r="H49" s="248"/>
    </row>
    <row r="50" spans="1:8">
      <c r="A50" s="62" t="s">
        <v>199</v>
      </c>
      <c r="B50" s="63" t="s">
        <v>533</v>
      </c>
      <c r="H50" s="39"/>
    </row>
    <row r="51" spans="1:8">
      <c r="A51" s="65" t="s">
        <v>206</v>
      </c>
      <c r="B51" s="66" t="s">
        <v>311</v>
      </c>
      <c r="G51" s="74" t="str">
        <f>$G$13</f>
        <v>Щербаков А.С.</v>
      </c>
      <c r="H51" s="64"/>
    </row>
    <row r="52" spans="1:8">
      <c r="A52" s="232" t="s">
        <v>371</v>
      </c>
      <c r="B52" s="233"/>
      <c r="C52" s="233"/>
      <c r="D52" s="233"/>
      <c r="E52" s="233"/>
      <c r="F52" s="234"/>
      <c r="H52" s="39"/>
    </row>
    <row r="53" spans="1:8" ht="15" customHeight="1">
      <c r="A53" s="235"/>
      <c r="B53" s="236"/>
      <c r="C53" s="236"/>
      <c r="D53" s="236"/>
      <c r="E53" s="236"/>
      <c r="F53" s="237"/>
      <c r="G53" s="74" t="str">
        <f>IF(ISBLANK(H13),"",H13)</f>
        <v/>
      </c>
      <c r="H53" s="64"/>
    </row>
    <row r="54" spans="1:8">
      <c r="A54" s="238"/>
      <c r="B54" s="239"/>
      <c r="C54" s="239"/>
      <c r="D54" s="239"/>
      <c r="E54" s="239"/>
      <c r="F54" s="240"/>
      <c r="G54" s="31"/>
      <c r="H54" s="41"/>
    </row>
    <row r="55" spans="1:8"/>
    <row r="56" spans="1:8">
      <c r="A56" s="209"/>
      <c r="B56" s="209"/>
      <c r="C56" s="209"/>
      <c r="D56" s="209"/>
      <c r="E56" s="209"/>
      <c r="F56" s="209"/>
      <c r="G56" s="209"/>
      <c r="H56" s="209"/>
    </row>
    <row r="57" spans="1:8">
      <c r="A57" s="209"/>
      <c r="B57" s="209"/>
      <c r="C57" s="209"/>
      <c r="D57" s="209"/>
      <c r="E57" s="209"/>
      <c r="F57" s="209"/>
      <c r="G57" s="209"/>
      <c r="H57" s="209"/>
    </row>
    <row r="58" spans="1:8">
      <c r="A58" s="209"/>
      <c r="B58" s="209"/>
      <c r="C58" s="209"/>
      <c r="D58" s="209"/>
      <c r="E58" s="209"/>
      <c r="F58" s="209"/>
      <c r="G58" s="209"/>
      <c r="H58" s="209"/>
    </row>
    <row r="59" spans="1:8">
      <c r="A59" s="209"/>
      <c r="B59" s="209"/>
      <c r="C59" s="209"/>
      <c r="D59" s="209"/>
      <c r="E59" s="209"/>
      <c r="F59" s="209"/>
      <c r="G59" s="209"/>
      <c r="H59" s="209"/>
    </row>
  </sheetData>
  <sheetProtection sheet="1" objects="1" scenarios="1" formatCells="0" formatColumns="0"/>
  <mergeCells count="7">
    <mergeCell ref="A52:F54"/>
    <mergeCell ref="C8:E8"/>
    <mergeCell ref="A6:H7"/>
    <mergeCell ref="C9:E9"/>
    <mergeCell ref="C10:E10"/>
    <mergeCell ref="D40:H49"/>
    <mergeCell ref="A25:H37"/>
  </mergeCells>
  <phoneticPr fontId="14" type="noConversion"/>
  <dataValidations disablePrompts="1"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workbookViewId="0">
      <selection activeCell="A3" sqref="A3"/>
    </sheetView>
  </sheetViews>
  <sheetFormatPr defaultColWidth="0" defaultRowHeight="15" zeroHeight="1"/>
  <cols>
    <col min="1" max="1" width="68.85546875" customWidth="1"/>
    <col min="2" max="5" width="9.140625" style="209" customWidth="1"/>
    <col min="6" max="16384" width="9.140625" hidden="1"/>
  </cols>
  <sheetData>
    <row r="1" spans="1:1">
      <c r="A1" s="3" t="str">
        <f>КАГ!A6</f>
        <v>КОРОНАРОГРАФИЯ</v>
      </c>
    </row>
    <row r="2" spans="1:1"/>
    <row r="3" spans="1:1" ht="354" customHeight="1">
      <c r="A3" s="210" t="str">
        <f>КАГ!A18&amp;"   "&amp;КАГ!B18&amp;CHAR(10)&amp;CHAR(10)&amp;КАГ!A20&amp;"   "&amp;КАГ!B20&amp;CHAR(10)&amp;CHAR(10)&amp;КАГ!A22&amp;"   "&amp;КАГ!B22&amp;CHAR(10)&amp;CHAR(10)&amp;КАГ!A27&amp;"   "&amp;КАГ!B27&amp;CHAR(10)&amp;CHAR(10)&amp;КАГ!A32&amp;"   "&amp;КАГ!B32</f>
        <v>Тип:   Правый
Ствол ЛКА:   стеноз дистальной трети 30%
Бассейн ПНА:   стеноз устья 40%, на границе проксимального и среднего сегмента определяется тотальная окклюзия с градацией  антеградного кровотока  TIMI 0. TTG0. Rentrop 3 из бассейна ПКА
Бассейн  ОА:   бассейн представлен доминантной ВТК со стенозами прокс/3 40%, в средней трети определяется нестабильный эксцентричный стеноз 80%. Антеградный кровоток  TIMI III.
Бассейн ПКА:   приустьевой эксцентричный стеноз 50%, диффузный стеноз на протяжении проксимального сегмента 60%, стеноз локальный среднего сегмента 80%. Антеградный кровоток  TIMI III.</v>
      </c>
    </row>
    <row r="4" spans="1:1">
      <c r="A4" s="209"/>
    </row>
    <row r="5" spans="1:1">
      <c r="A5" s="209"/>
    </row>
    <row r="6" spans="1:1">
      <c r="A6" s="209"/>
    </row>
    <row r="7" spans="1:1">
      <c r="A7" s="209"/>
    </row>
    <row r="8" spans="1:1">
      <c r="A8" s="209"/>
    </row>
    <row r="9" spans="1:1">
      <c r="A9" s="209"/>
    </row>
  </sheetData>
  <sheetProtection sheet="1" objects="1" scenario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D28" sqref="D28"/>
    </sheetView>
  </sheetViews>
  <sheetFormatPr defaultRowHeight="15"/>
  <cols>
    <col min="1" max="1" width="18.7109375" customWidth="1"/>
    <col min="2" max="2" width="45.7109375" customWidth="1"/>
    <col min="3" max="3" width="15.7109375" customWidth="1"/>
    <col min="4" max="4" width="20.71093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45574</v>
      </c>
      <c r="C2" s="152"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7" t="s">
        <v>195</v>
      </c>
      <c r="B4" s="148" t="s">
        <v>105</v>
      </c>
      <c r="C4" s="149" t="s">
        <v>15</v>
      </c>
      <c r="D4" s="204" t="str">
        <f>КАГ!$B$11</f>
        <v>Митькин И.Ю.</v>
      </c>
    </row>
    <row r="5" spans="1:4" ht="15.75" thickTop="1">
      <c r="A5"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3" t="str">
        <f>IF(ISBLANK(КАГ!A6),"",КАГ!A6)</f>
        <v>КОРОНАРОГРАФИЯ</v>
      </c>
      <c r="C5" s="131" t="s">
        <v>8</v>
      </c>
      <c r="D5" s="102">
        <f>КАГ!$B$12</f>
        <v>26192</v>
      </c>
    </row>
    <row r="6" spans="1:4" ht="30">
      <c r="A6"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4" t="str">
        <f>ЧКВ!A6</f>
        <v xml:space="preserve">Транслюминальная баллонная ангиопластика и стентирование коронарных артерий. </v>
      </c>
      <c r="C6" s="131" t="s">
        <v>10</v>
      </c>
      <c r="D6" s="103">
        <f>DATEDIF(D5,D10,"y")</f>
        <v>53</v>
      </c>
    </row>
    <row r="7" spans="1:4">
      <c r="A7" s="38"/>
      <c r="C7" s="101" t="s">
        <v>12</v>
      </c>
      <c r="D7" s="103">
        <f>КАГ!$B$14</f>
        <v>28702</v>
      </c>
    </row>
    <row r="8" spans="1:4">
      <c r="A8" s="194" t="str">
        <f>ЧКВ!$A$9</f>
        <v>Код модели: 21167</v>
      </c>
      <c r="B8" s="104"/>
      <c r="C8" s="101" t="s">
        <v>133</v>
      </c>
      <c r="D8" s="103">
        <f>КАГ!$B$15</f>
        <v>35</v>
      </c>
    </row>
    <row r="9" spans="1:4">
      <c r="A9" s="194" t="str">
        <f>ЧКВ!$A$10</f>
        <v>Код метода: 45</v>
      </c>
      <c r="C9" s="105" t="s">
        <v>106</v>
      </c>
      <c r="D9" s="103" t="str">
        <f>КАГ!$B$16</f>
        <v>ОКС БПST</v>
      </c>
    </row>
    <row r="10" spans="1:4">
      <c r="A10" s="195"/>
      <c r="B10" s="31"/>
      <c r="C10" s="150" t="s">
        <v>13</v>
      </c>
      <c r="D10" s="151">
        <f>КАГ!$B$8</f>
        <v>45574</v>
      </c>
    </row>
    <row r="11" spans="1:4">
      <c r="A11" s="27"/>
      <c r="B11" s="112"/>
      <c r="C11" s="112"/>
      <c r="D11" s="113"/>
    </row>
    <row r="12" spans="1:4" ht="18.75" customHeight="1">
      <c r="A12" s="136" t="s">
        <v>336</v>
      </c>
      <c r="B12" s="137" t="s">
        <v>0</v>
      </c>
      <c r="C12" s="137" t="s">
        <v>14</v>
      </c>
      <c r="D12" s="138" t="s">
        <v>100</v>
      </c>
    </row>
    <row r="13" spans="1:4" ht="27.75" customHeight="1">
      <c r="A13" s="139"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3" t="s">
        <v>306</v>
      </c>
      <c r="C13" s="187"/>
      <c r="D13" s="140">
        <v>1</v>
      </c>
    </row>
    <row r="14" spans="1:4" ht="27.75" customHeight="1">
      <c r="A14" s="141"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4" t="s">
        <v>326</v>
      </c>
      <c r="C14" s="135"/>
      <c r="D14" s="140">
        <v>1</v>
      </c>
    </row>
    <row r="15" spans="1:4" ht="27.75" customHeight="1">
      <c r="A15" s="141"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5" s="154" t="s">
        <v>331</v>
      </c>
      <c r="C15" s="135"/>
      <c r="D15" s="140">
        <v>1</v>
      </c>
    </row>
    <row r="16" spans="1:4" ht="27.75" customHeight="1">
      <c r="A16"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54" t="s">
        <v>536</v>
      </c>
      <c r="C16" s="135"/>
      <c r="D16" s="140">
        <v>1</v>
      </c>
    </row>
    <row r="17" spans="1:4" ht="27.75" customHeight="1">
      <c r="A17"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7" s="154" t="s">
        <v>520</v>
      </c>
      <c r="C17" s="135"/>
      <c r="D17" s="140">
        <v>1</v>
      </c>
    </row>
    <row r="18" spans="1:4" ht="27.75" customHeight="1">
      <c r="A18" s="141"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4" t="s">
        <v>375</v>
      </c>
      <c r="C18" s="135" t="s">
        <v>406</v>
      </c>
      <c r="D18" s="140">
        <v>1</v>
      </c>
    </row>
    <row r="19" spans="1:4" ht="27.75" customHeight="1">
      <c r="A19"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4" t="s">
        <v>324</v>
      </c>
      <c r="C19" s="182" t="s">
        <v>459</v>
      </c>
      <c r="D19" s="140">
        <v>1</v>
      </c>
    </row>
    <row r="20" spans="1:4" ht="27.75" customHeight="1">
      <c r="A20"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5" t="s">
        <v>324</v>
      </c>
      <c r="C20" s="135" t="s">
        <v>480</v>
      </c>
      <c r="D20" s="140">
        <v>1</v>
      </c>
    </row>
    <row r="21" spans="1:4" ht="27.75" customHeight="1">
      <c r="A21"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1" s="154" t="s">
        <v>324</v>
      </c>
      <c r="C21" s="135" t="s">
        <v>419</v>
      </c>
      <c r="D21" s="140">
        <v>1</v>
      </c>
    </row>
    <row r="22" spans="1:4" ht="27.75" customHeight="1">
      <c r="A22" s="141" t="str">
        <f>IFERROR(INDEX(Расходка[[Тип расходного материала ]],MATCH(Карта_Учёта[[#This Row],[Наименование расходного материала]],Расходка[Наименование расходного материала],0)),"")</f>
        <v/>
      </c>
      <c r="B22" s="154"/>
      <c r="C22" s="135"/>
      <c r="D22" s="142"/>
    </row>
    <row r="23" spans="1:4" ht="27.75" customHeight="1">
      <c r="A23" s="141" t="str">
        <f>IFERROR(INDEX(Расходка[[Тип расходного материала ]],MATCH(Карта_Учёта[[#This Row],[Наименование расходного материала]],Расходка[Наименование расходного материала],0)),"")</f>
        <v/>
      </c>
      <c r="B23" s="154"/>
      <c r="C23" s="135"/>
      <c r="D23" s="142"/>
    </row>
    <row r="24" spans="1:4" ht="27.75" customHeight="1">
      <c r="A24" s="143" t="str">
        <f>IFERROR(INDEX(Расходка[[Тип расходного материала ]],MATCH(Карта_Учёта[[#This Row],[Наименование расходного материала]],Расходка[Наименование расходного материала],0)),"")</f>
        <v/>
      </c>
      <c r="B24" s="154"/>
      <c r="C24" s="135"/>
      <c r="D24" s="142"/>
    </row>
    <row r="25" spans="1:4" ht="27.75" customHeight="1">
      <c r="A25" s="144" t="str">
        <f>IFERROR(INDEX(Расходка[[Тип расходного материала ]],MATCH(Карта_Учёта[[#This Row],[Наименование расходного материала]],Расходка[Наименование расходного материала],0)),"")</f>
        <v/>
      </c>
      <c r="B25" s="156"/>
      <c r="C25" s="145"/>
      <c r="D25" s="146"/>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377</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517</v>
      </c>
      <c r="C39" s="114"/>
      <c r="D39" s="39"/>
    </row>
    <row r="40" spans="1:4" ht="19.899999999999999" customHeight="1">
      <c r="A40" s="40"/>
      <c r="B40" s="31"/>
      <c r="C40" s="31"/>
      <c r="D40" s="41"/>
    </row>
    <row r="41" spans="1:4" ht="14.45" customHeight="1">
      <c r="C41" s="11"/>
    </row>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486</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485</v>
      </c>
      <c r="G3" s="3" t="s">
        <v>486</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486</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400</v>
      </c>
      <c r="F5" t="s">
        <v>131</v>
      </c>
      <c r="G5" s="3" t="s">
        <v>486</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486</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486</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486</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486</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487</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485</v>
      </c>
      <c r="G13" s="3" t="s">
        <v>487</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487</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487</v>
      </c>
      <c r="H15" s="3">
        <v>2633</v>
      </c>
      <c r="I15" s="3">
        <v>46</v>
      </c>
      <c r="J15" s="3">
        <v>45</v>
      </c>
      <c r="K15" s="3">
        <v>45</v>
      </c>
      <c r="L15" s="3">
        <v>45</v>
      </c>
      <c r="M15" s="3">
        <v>45</v>
      </c>
      <c r="N15" s="3">
        <v>45</v>
      </c>
      <c r="O15" s="3">
        <v>45</v>
      </c>
      <c r="P15" s="3">
        <v>45</v>
      </c>
      <c r="Q15" s="3">
        <v>45</v>
      </c>
      <c r="R15" s="3">
        <v>45</v>
      </c>
      <c r="S15" s="3">
        <v>45</v>
      </c>
      <c r="T15" s="3">
        <v>45</v>
      </c>
      <c r="V15" t="s">
        <v>395</v>
      </c>
      <c r="W15" s="12"/>
    </row>
    <row r="16" spans="1:23">
      <c r="A16" s="8">
        <v>15</v>
      </c>
      <c r="B16" s="2" t="s">
        <v>31</v>
      </c>
      <c r="C16" s="8" t="s">
        <v>237</v>
      </c>
      <c r="D16" s="5" t="s">
        <v>32</v>
      </c>
      <c r="V16" t="s">
        <v>396</v>
      </c>
    </row>
    <row r="17" spans="1:23">
      <c r="A17" s="8">
        <v>16</v>
      </c>
      <c r="B17" s="2" t="s">
        <v>33</v>
      </c>
      <c r="C17" s="8" t="s">
        <v>238</v>
      </c>
      <c r="D17" s="5" t="s">
        <v>34</v>
      </c>
      <c r="F17" t="s">
        <v>488</v>
      </c>
      <c r="V17" t="s">
        <v>397</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503</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52" zoomScaleNormal="100" workbookViewId="0">
      <selection activeCell="A2" sqref="A2"/>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500</v>
      </c>
      <c r="AN1" s="2" t="s">
        <v>494</v>
      </c>
      <c r="AO1" t="s">
        <v>357</v>
      </c>
      <c r="AP1" s="159"/>
    </row>
    <row r="2" spans="1:42">
      <c r="A2">
        <f>ROW(Расходка[[#This Row],[Тип расходного материала ]])-1</f>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0</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Индефлятор</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Launcher 6F JR 4.0</v>
      </c>
      <c r="U2" s="115" t="str">
        <f>IFERROR(INDEX(Расходка[Наименование расходного материала],MATCH(Расходка[[#This Row],[№]],Поиск_расходки[Индекс4],0)),"")</f>
        <v>Pilot 150</v>
      </c>
      <c r="V2" s="115" t="str">
        <f>IFERROR(INDEX(Расходка[Наименование расходного материала],MATCH(Расходка[[#This Row],[№]],Поиск_расходки[Индекс5],0)),"")</f>
        <v>Shunmei</v>
      </c>
      <c r="W2" s="115" t="str">
        <f>IFERROR(INDEX(Расходка[Наименование расходного материала],MATCH(Расходка[[#This Row],[№]],Поиск_расходки[Индекс6],0)),"")</f>
        <v>Колибри</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DES, Resolute Integtity</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402</v>
      </c>
      <c r="AI2" t="s">
        <v>190</v>
      </c>
      <c r="AJ2" t="s">
        <v>199</v>
      </c>
      <c r="AK2" t="str">
        <f>CONCATENATE(AI2,AJ2)</f>
        <v xml:space="preserve">Контраст: Ультравист 370 </v>
      </c>
      <c r="AM2" s="207">
        <v>155800</v>
      </c>
      <c r="AN2" s="208" t="s">
        <v>309</v>
      </c>
      <c r="AO2" s="209" t="s">
        <v>496</v>
      </c>
      <c r="AP2" s="128"/>
    </row>
    <row r="3" spans="1:42">
      <c r="A3">
        <f>ROW(Расходка[[#This Row],[Тип расходного материала ]])-1</f>
        <v>2</v>
      </c>
      <c r="B3" t="s">
        <v>94</v>
      </c>
      <c r="C3" t="s">
        <v>370</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0</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xml:space="preserve">NC Колибри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403</v>
      </c>
      <c r="AI3" t="s">
        <v>190</v>
      </c>
      <c r="AJ3" t="s">
        <v>200</v>
      </c>
      <c r="AK3" t="str">
        <f t="shared" ref="AK3:AK6" si="0">CONCATENATE(AI3,AJ3)</f>
        <v>Контраст: Омнипак 350</v>
      </c>
      <c r="AM3" s="189">
        <v>218190</v>
      </c>
      <c r="AN3" s="2" t="s">
        <v>489</v>
      </c>
      <c r="AO3" t="s">
        <v>497</v>
      </c>
      <c r="AP3" s="129"/>
    </row>
    <row r="4" spans="1:42">
      <c r="A4">
        <f>ROW(Расходка[[#This Row],[Тип расходного материала ]])-1</f>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0</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404</v>
      </c>
      <c r="AI4" t="s">
        <v>190</v>
      </c>
      <c r="AJ4" t="s">
        <v>201</v>
      </c>
      <c r="AK4" t="str">
        <f t="shared" si="0"/>
        <v>Контраст: Оптирей 350</v>
      </c>
      <c r="AM4" s="189">
        <v>337440</v>
      </c>
      <c r="AN4" s="2" t="s">
        <v>502</v>
      </c>
      <c r="AO4" t="s">
        <v>499</v>
      </c>
      <c r="AP4" s="129"/>
    </row>
    <row r="5" spans="1:42">
      <c r="A5">
        <f>ROW(Расходка[[#This Row],[Тип расходного материала ]])-1</f>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0</v>
      </c>
      <c r="M5" s="116">
        <f>IF(ISNUMBER(SEARCH('Карта учёта'!$B$21,Расходка[[#This Row],[Наименование расходного материала]])),MAX($M$1:M4)+1,0)</f>
        <v>0</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405</v>
      </c>
      <c r="AI5" t="s">
        <v>190</v>
      </c>
      <c r="AJ5" t="s">
        <v>202</v>
      </c>
      <c r="AK5" t="str">
        <f t="shared" si="0"/>
        <v>Контраст: Юнигексол 350</v>
      </c>
      <c r="AM5" s="207">
        <v>136170</v>
      </c>
      <c r="AN5" s="208"/>
      <c r="AO5" s="209" t="s">
        <v>498</v>
      </c>
    </row>
    <row r="6" spans="1:42">
      <c r="A6">
        <f>ROW(Расходка[[#This Row],[Тип расходного материала ]])-1</f>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0</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406</v>
      </c>
      <c r="AI6" t="s">
        <v>190</v>
      </c>
      <c r="AJ6" t="s">
        <v>203</v>
      </c>
      <c r="AK6" t="str">
        <f t="shared" si="0"/>
        <v>Контраст: Сканлюкс 370</v>
      </c>
      <c r="AM6" s="189">
        <v>135820</v>
      </c>
      <c r="AN6" s="2"/>
      <c r="AO6" t="s">
        <v>501</v>
      </c>
    </row>
    <row r="7" spans="1:42">
      <c r="A7">
        <f>ROW(Расходка[[#This Row],[Тип расходного материала ]])-1</f>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0</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407</v>
      </c>
      <c r="AI7" t="s">
        <v>190</v>
      </c>
      <c r="AJ7" t="s">
        <v>204</v>
      </c>
      <c r="AK7" t="str">
        <f t="shared" ref="AK7:AK8" si="1">CONCATENATE(AI7,AJ7)</f>
        <v>Контраст: Йогексол 350</v>
      </c>
      <c r="AM7" s="207">
        <v>155760</v>
      </c>
      <c r="AN7" s="208"/>
      <c r="AO7" s="209" t="s">
        <v>495</v>
      </c>
    </row>
    <row r="8" spans="1:42">
      <c r="A8">
        <f>ROW(Расходка[[#This Row],[Тип расходного материала ]])-1</f>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0</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408</v>
      </c>
      <c r="AI8" t="s">
        <v>190</v>
      </c>
      <c r="AJ8" t="s">
        <v>205</v>
      </c>
      <c r="AK8" t="str">
        <f t="shared" si="1"/>
        <v>Контраст: Визипак 320</v>
      </c>
      <c r="AM8" s="189">
        <v>218140</v>
      </c>
      <c r="AN8" s="2"/>
      <c r="AO8" t="s">
        <v>89</v>
      </c>
    </row>
    <row r="9" spans="1:42">
      <c r="A9">
        <f>ROW(Расходка[[#This Row],[Тип расходного материала ]])-1</f>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0</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409</v>
      </c>
      <c r="AM9" s="189">
        <v>218160</v>
      </c>
      <c r="AN9" s="2"/>
      <c r="AO9" t="s">
        <v>90</v>
      </c>
    </row>
    <row r="10" spans="1:42">
      <c r="A10">
        <f>ROW(Расходка[[#This Row],[Тип расходного материала ]])-1</f>
        <v>9</v>
      </c>
      <c r="B10" t="s">
        <v>5</v>
      </c>
      <c r="C10" t="s">
        <v>375</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0</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1</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0</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410</v>
      </c>
      <c r="AI10" t="s">
        <v>356</v>
      </c>
      <c r="AM10" s="189">
        <v>194510</v>
      </c>
      <c r="AN10" s="2"/>
      <c r="AO10" t="s">
        <v>91</v>
      </c>
    </row>
    <row r="11" spans="1:42">
      <c r="A11">
        <f>ROW(Расходка[[#This Row],[Тип расходного материала ]])-1</f>
        <v>10</v>
      </c>
      <c r="B11" t="s">
        <v>5</v>
      </c>
      <c r="C11" t="s">
        <v>398</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0</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2</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411</v>
      </c>
      <c r="AI11" t="s">
        <v>4</v>
      </c>
      <c r="AM11" s="189">
        <v>323500</v>
      </c>
      <c r="AN11" s="2"/>
      <c r="AO11" t="s">
        <v>92</v>
      </c>
    </row>
    <row r="12" spans="1:42">
      <c r="A12">
        <f>ROW(Расходка[[#This Row],[Тип расходного материала ]])-1</f>
        <v>11</v>
      </c>
      <c r="B12" t="s">
        <v>5</v>
      </c>
      <c r="C12" t="s">
        <v>515</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0</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
      </c>
      <c r="AA12" s="115" t="str">
        <f>IFERROR(INDEX(Расходка[Наименование расходного материала],MATCH(Расходка[[#This Row],[№]],Поиск_расходки[Индекс10],0)),"")</f>
        <v>NC АКСИОМА</v>
      </c>
      <c r="AB12" s="115" t="str">
        <f>IFERROR(INDEX(Расходка[Наименование расходного материала],MATCH(Расходка[[#This Row],[№]],Поиск_расходки[Индекс11],0)),"")</f>
        <v>NC АКСИОМА</v>
      </c>
      <c r="AC12" s="115" t="str">
        <f>IFERROR(INDEX(Расходка[Наименование расходного материала],MATCH(Расходка[[#This Row],[№]],Поиск_расходки[Индекс12],0)),"")</f>
        <v>NC АКСИОМА</v>
      </c>
      <c r="AD12" s="115" t="str">
        <f>IFERROR(INDEX(Расходка[Наименование расходного материала],MATCH(Расходка[[#This Row],[№]],Поиск_расходки[Индекс13],0)),"")</f>
        <v>NC АКСИОМА</v>
      </c>
      <c r="AF12" s="4" t="s">
        <v>5</v>
      </c>
      <c r="AG12" s="4" t="s">
        <v>412</v>
      </c>
      <c r="AI12" t="s">
        <v>3</v>
      </c>
      <c r="AM12" s="189">
        <v>323510</v>
      </c>
      <c r="AN12" s="2"/>
      <c r="AO12" t="s">
        <v>93</v>
      </c>
    </row>
    <row r="13" spans="1:42">
      <c r="A13">
        <f>ROW(Расходка[[#This Row],[Тип расходного материала ]])-1</f>
        <v>12</v>
      </c>
      <c r="B13" t="s">
        <v>308</v>
      </c>
      <c r="C13" s="1" t="s">
        <v>334</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0</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
      </c>
      <c r="AA13" s="115" t="str">
        <f>IFERROR(INDEX(Расходка[Наименование расходного материала],MATCH(Расходка[[#This Row],[№]],Поиск_расходки[Индекс10],0)),"")</f>
        <v>Nitrex 260</v>
      </c>
      <c r="AB13" s="115" t="str">
        <f>IFERROR(INDEX(Расходка[Наименование расходного материала],MATCH(Расходка[[#This Row],[№]],Поиск_расходки[Индекс11],0)),"")</f>
        <v>Nitrex 260</v>
      </c>
      <c r="AC13" s="115" t="str">
        <f>IFERROR(INDEX(Расходка[Наименование расходного материала],MATCH(Расходка[[#This Row],[№]],Поиск_расходки[Индекс12],0)),"")</f>
        <v>Nitrex 260</v>
      </c>
      <c r="AD13" s="115" t="str">
        <f>IFERROR(INDEX(Расходка[Наименование расходного материала],MATCH(Расходка[[#This Row],[№]],Поиск_расходки[Индекс13],0)),"")</f>
        <v>Nitrex 260</v>
      </c>
      <c r="AF13" s="4" t="s">
        <v>5</v>
      </c>
      <c r="AG13" s="4" t="s">
        <v>413</v>
      </c>
      <c r="AI13" t="s">
        <v>6</v>
      </c>
      <c r="AN13" s="2"/>
    </row>
    <row r="14" spans="1:42">
      <c r="A14">
        <f>ROW(Расходка[[#This Row],[Тип расходного материала ]])-1</f>
        <v>13</v>
      </c>
      <c r="B14" t="s">
        <v>308</v>
      </c>
      <c r="C14" t="s">
        <v>366</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0</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
      </c>
      <c r="AA14" s="115" t="str">
        <f>IFERROR(INDEX(Расходка[Наименование расходного материала],MATCH(Расходка[[#This Row],[№]],Поиск_расходки[Индекс10],0)),"")</f>
        <v>RadiFocus</v>
      </c>
      <c r="AB14" s="115" t="str">
        <f>IFERROR(INDEX(Расходка[Наименование расходного материала],MATCH(Расходка[[#This Row],[№]],Поиск_расходки[Индекс11],0)),"")</f>
        <v>RadiFocus</v>
      </c>
      <c r="AC14" s="115" t="str">
        <f>IFERROR(INDEX(Расходка[Наименование расходного материала],MATCH(Расходка[[#This Row],[№]],Поиск_расходки[Индекс12],0)),"")</f>
        <v>RadiFocus</v>
      </c>
      <c r="AD14" s="115" t="str">
        <f>IFERROR(INDEX(Расходка[Наименование расходного материала],MATCH(Расходка[[#This Row],[№]],Поиск_расходки[Индекс13],0)),"")</f>
        <v>RadiFocus</v>
      </c>
      <c r="AF14" s="4" t="s">
        <v>5</v>
      </c>
      <c r="AG14" s="4" t="s">
        <v>492</v>
      </c>
      <c r="AI14" t="s">
        <v>5</v>
      </c>
      <c r="AM14" s="189"/>
      <c r="AN14" s="2"/>
    </row>
    <row r="15" spans="1:42">
      <c r="A15">
        <f>ROW(Расходка[[#This Row],[Тип расходного материала ]])-1</f>
        <v>14</v>
      </c>
      <c r="B15" t="s">
        <v>306</v>
      </c>
      <c r="C15" t="s">
        <v>333</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0</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
      </c>
      <c r="AA15" s="115" t="str">
        <f>IFERROR(INDEX(Расходка[Наименование расходного материала],MATCH(Расходка[[#This Row],[№]],Поиск_расходки[Индекс10],0)),"")</f>
        <v>BasixCOMPAK</v>
      </c>
      <c r="AB15" s="115" t="str">
        <f>IFERROR(INDEX(Расходка[Наименование расходного материала],MATCH(Расходка[[#This Row],[№]],Поиск_расходки[Индекс11],0)),"")</f>
        <v>BasixCOMPAK</v>
      </c>
      <c r="AC15" s="115" t="str">
        <f>IFERROR(INDEX(Расходка[Наименование расходного материала],MATCH(Расходка[[#This Row],[№]],Поиск_расходки[Индекс12],0)),"")</f>
        <v>BasixCOMPAK</v>
      </c>
      <c r="AD15" s="115" t="str">
        <f>IFERROR(INDEX(Расходка[Наименование расходного материала],MATCH(Расходка[[#This Row],[№]],Поиск_расходки[Индекс13],0)),"")</f>
        <v>BasixCOMPAK</v>
      </c>
      <c r="AF15" s="4" t="s">
        <v>5</v>
      </c>
      <c r="AG15" s="4" t="s">
        <v>414</v>
      </c>
      <c r="AI15" t="s">
        <v>94</v>
      </c>
    </row>
    <row r="16" spans="1:42">
      <c r="A16">
        <f>ROW(Расходка[[#This Row],[Тип расходного материала ]])-1</f>
        <v>15</v>
      </c>
      <c r="B16" t="s">
        <v>306</v>
      </c>
      <c r="C16" t="s">
        <v>363</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0</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
      </c>
      <c r="AA16" s="115" t="str">
        <f>IFERROR(INDEX(Расходка[Наименование расходного материала],MATCH(Расходка[[#This Row],[№]],Поиск_расходки[Индекс10],0)),"")</f>
        <v>BasixTOUCH</v>
      </c>
      <c r="AB16" s="115" t="str">
        <f>IFERROR(INDEX(Расходка[Наименование расходного материала],MATCH(Расходка[[#This Row],[№]],Поиск_расходки[Индекс11],0)),"")</f>
        <v>BasixTOUCH</v>
      </c>
      <c r="AC16" s="115" t="str">
        <f>IFERROR(INDEX(Расходка[Наименование расходного материала],MATCH(Расходка[[#This Row],[№]],Поиск_расходки[Индекс12],0)),"")</f>
        <v>BasixTOUCH</v>
      </c>
      <c r="AD16" s="115" t="str">
        <f>IFERROR(INDEX(Расходка[Наименование расходного материала],MATCH(Расходка[[#This Row],[№]],Поиск_расходки[Индекс13],0)),"")</f>
        <v>BasixTOUCH</v>
      </c>
      <c r="AF16" s="4" t="s">
        <v>5</v>
      </c>
      <c r="AG16" s="4" t="s">
        <v>415</v>
      </c>
      <c r="AI16" t="s">
        <v>306</v>
      </c>
    </row>
    <row r="17" spans="1:35">
      <c r="A17">
        <f>ROW(Расходка[[#This Row],[Тип расходного материала ]])-1</f>
        <v>16</v>
      </c>
      <c r="B17" t="s">
        <v>306</v>
      </c>
      <c r="C17" t="s">
        <v>355</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0</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
      </c>
      <c r="AA17" s="115" t="str">
        <f>IFERROR(INDEX(Расходка[Наименование расходного материала],MATCH(Расходка[[#This Row],[№]],Поиск_расходки[Индекс10],0)),"")</f>
        <v>Dolphin</v>
      </c>
      <c r="AB17" s="115" t="str">
        <f>IFERROR(INDEX(Расходка[Наименование расходного материала],MATCH(Расходка[[#This Row],[№]],Поиск_расходки[Индекс11],0)),"")</f>
        <v>Dolphin</v>
      </c>
      <c r="AC17" s="115" t="str">
        <f>IFERROR(INDEX(Расходка[Наименование расходного материала],MATCH(Расходка[[#This Row],[№]],Поиск_расходки[Индекс12],0)),"")</f>
        <v>Dolphin</v>
      </c>
      <c r="AD17" s="115" t="str">
        <f>IFERROR(INDEX(Расходка[Наименование расходного материала],MATCH(Расходка[[#This Row],[№]],Поиск_расходки[Индекс13],0)),"")</f>
        <v>Dolphin</v>
      </c>
      <c r="AF17" s="4" t="s">
        <v>5</v>
      </c>
      <c r="AG17" s="4" t="s">
        <v>416</v>
      </c>
      <c r="AI17" t="s">
        <v>206</v>
      </c>
    </row>
    <row r="18" spans="1:35">
      <c r="A18">
        <f>ROW(Расходка[[#This Row],[Тип расходного материала ]])-1</f>
        <v>17</v>
      </c>
      <c r="B18" t="s">
        <v>306</v>
      </c>
      <c r="C18" t="s">
        <v>376</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0</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
      </c>
      <c r="AA18" s="115" t="str">
        <f>IFERROR(INDEX(Расходка[Наименование расходного материала],MATCH(Расходка[[#This Row],[№]],Поиск_расходки[Индекс10],0)),"")</f>
        <v>Lepu Medical</v>
      </c>
      <c r="AB18" s="115" t="str">
        <f>IFERROR(INDEX(Расходка[Наименование расходного материала],MATCH(Расходка[[#This Row],[№]],Поиск_расходки[Индекс11],0)),"")</f>
        <v>Lepu Medical</v>
      </c>
      <c r="AC18" s="115" t="str">
        <f>IFERROR(INDEX(Расходка[Наименование расходного материала],MATCH(Расходка[[#This Row],[№]],Поиск_расходки[Индекс12],0)),"")</f>
        <v>Lepu Medical</v>
      </c>
      <c r="AD18" s="115" t="str">
        <f>IFERROR(INDEX(Расходка[Наименование расходного материала],MATCH(Расходка[[#This Row],[№]],Поиск_расходки[Индекс13],0)),"")</f>
        <v>Lepu Medical</v>
      </c>
      <c r="AF18" s="4" t="s">
        <v>5</v>
      </c>
      <c r="AG18" s="4" t="s">
        <v>417</v>
      </c>
      <c r="AI18" t="s">
        <v>95</v>
      </c>
    </row>
    <row r="19" spans="1:35">
      <c r="A19">
        <f>ROW(Расходка[[#This Row],[Тип расходного материала ]])-1</f>
        <v>18</v>
      </c>
      <c r="B19" t="s">
        <v>306</v>
      </c>
      <c r="C19" t="s">
        <v>368</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0</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
      </c>
      <c r="AA19" s="115" t="str">
        <f>IFERROR(INDEX(Расходка[Наименование расходного материала],MATCH(Расходка[[#This Row],[№]],Поиск_расходки[Индекс10],0)),"")</f>
        <v>Perouse Medical FLAMINGO</v>
      </c>
      <c r="AB19" s="115" t="str">
        <f>IFERROR(INDEX(Расходка[Наименование расходного материала],MATCH(Расходка[[#This Row],[№]],Поиск_расходки[Индекс11],0)),"")</f>
        <v>Perouse Medical FLAMINGO</v>
      </c>
      <c r="AC19" s="115" t="str">
        <f>IFERROR(INDEX(Расходка[Наименование расходного материала],MATCH(Расходка[[#This Row],[№]],Поиск_расходки[Индекс12],0)),"")</f>
        <v>Perouse Medical FLAMINGO</v>
      </c>
      <c r="AD19" s="115" t="str">
        <f>IFERROR(INDEX(Расходка[Наименование расходного материала],MATCH(Расходка[[#This Row],[№]],Поиск_расходки[Индекс13],0)),"")</f>
        <v>Perouse Medical FLAMINGO</v>
      </c>
      <c r="AF19" s="4" t="s">
        <v>5</v>
      </c>
      <c r="AG19" s="4" t="s">
        <v>418</v>
      </c>
      <c r="AI19" t="s">
        <v>301</v>
      </c>
    </row>
    <row r="20" spans="1:35">
      <c r="A20">
        <f>ROW(Расходка[[#This Row],[Тип расходного материала ]])-1</f>
        <v>19</v>
      </c>
      <c r="B20" t="s">
        <v>306</v>
      </c>
      <c r="C20" t="s">
        <v>505</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0</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
      </c>
      <c r="AA20" s="115" t="str">
        <f>IFERROR(INDEX(Расходка[Наименование расходного материала],MATCH(Расходка[[#This Row],[№]],Поиск_расходки[Индекс10],0)),"")</f>
        <v>Demax</v>
      </c>
      <c r="AB20" s="115" t="str">
        <f>IFERROR(INDEX(Расходка[Наименование расходного материала],MATCH(Расходка[[#This Row],[№]],Поиск_расходки[Индекс11],0)),"")</f>
        <v>Demax</v>
      </c>
      <c r="AC20" s="115" t="str">
        <f>IFERROR(INDEX(Расходка[Наименование расходного материала],MATCH(Расходка[[#This Row],[№]],Поиск_расходки[Индекс12],0)),"")</f>
        <v>Demax</v>
      </c>
      <c r="AD20" s="115" t="str">
        <f>IFERROR(INDEX(Расходка[Наименование расходного материала],MATCH(Расходка[[#This Row],[№]],Поиск_расходки[Индекс13],0)),"")</f>
        <v>Demax</v>
      </c>
      <c r="AF20" s="4" t="s">
        <v>5</v>
      </c>
      <c r="AG20" s="4" t="s">
        <v>419</v>
      </c>
      <c r="AI20" t="s">
        <v>308</v>
      </c>
    </row>
    <row r="21" spans="1:35">
      <c r="A21">
        <f>ROW(Расходка[[#This Row],[Тип расходного материала ]])-1</f>
        <v>20</v>
      </c>
      <c r="B21" t="s">
        <v>206</v>
      </c>
      <c r="C21" s="1" t="s">
        <v>339</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
      </c>
      <c r="AA21" s="115" t="str">
        <f>IFERROR(INDEX(Расходка[Наименование расходного материала],MATCH(Расходка[[#This Row],[№]],Поиск_расходки[Индекс10],0)),"")</f>
        <v>Oscor 7F</v>
      </c>
      <c r="AB21" s="115" t="str">
        <f>IFERROR(INDEX(Расходка[Наименование расходного материала],MATCH(Расходка[[#This Row],[№]],Поиск_расходки[Индекс11],0)),"")</f>
        <v>Oscor 7F</v>
      </c>
      <c r="AC21" s="115" t="str">
        <f>IFERROR(INDEX(Расходка[Наименование расходного материала],MATCH(Расходка[[#This Row],[№]],Поиск_расходки[Индекс12],0)),"")</f>
        <v>Oscor 7F</v>
      </c>
      <c r="AD21" s="115" t="str">
        <f>IFERROR(INDEX(Расходка[Наименование расходного материала],MATCH(Расходка[[#This Row],[№]],Поиск_расходки[Индекс13],0)),"")</f>
        <v>Oscor 7F</v>
      </c>
      <c r="AF21" s="4" t="s">
        <v>5</v>
      </c>
      <c r="AG21" s="4" t="s">
        <v>420</v>
      </c>
    </row>
    <row r="22" spans="1:35">
      <c r="A22">
        <f>ROW(Расходка[[#This Row],[Тип расходного материала ]])-1</f>
        <v>21</v>
      </c>
      <c r="B22" t="s">
        <v>306</v>
      </c>
      <c r="C22" s="1" t="s">
        <v>508</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0</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
      </c>
      <c r="AA22" s="115" t="str">
        <f>IFERROR(INDEX(Расходка[Наименование расходного материала],MATCH(Расходка[[#This Row],[№]],Поиск_расходки[Индекс10],0)),"")</f>
        <v>"МИМ". Тюмень</v>
      </c>
      <c r="AB22" s="115" t="str">
        <f>IFERROR(INDEX(Расходка[Наименование расходного материала],MATCH(Расходка[[#This Row],[№]],Поиск_расходки[Индекс11],0)),"")</f>
        <v>"МИМ". Тюмень</v>
      </c>
      <c r="AC22" s="115" t="str">
        <f>IFERROR(INDEX(Расходка[Наименование расходного материала],MATCH(Расходка[[#This Row],[№]],Поиск_расходки[Индекс12],0)),"")</f>
        <v>"МИМ". Тюмень</v>
      </c>
      <c r="AD22" s="115" t="str">
        <f>IFERROR(INDEX(Расходка[Наименование расходного материала],MATCH(Расходка[[#This Row],[№]],Поиск_расходки[Индекс13],0)),"")</f>
        <v>"МИМ". Тюмень</v>
      </c>
      <c r="AF22" s="4" t="s">
        <v>5</v>
      </c>
      <c r="AG22" s="4" t="s">
        <v>421</v>
      </c>
    </row>
    <row r="23" spans="1:35">
      <c r="A23">
        <f>ROW(Расходка[[#This Row],[Тип расходного материала ]])-1</f>
        <v>22</v>
      </c>
      <c r="B23" t="s">
        <v>306</v>
      </c>
      <c r="C23" s="1" t="s">
        <v>510</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0</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
      </c>
      <c r="AA23" s="115" t="str">
        <f>IFERROR(INDEX(Расходка[Наименование расходного материала],MATCH(Расходка[[#This Row],[№]],Поиск_расходки[Индекс10],0)),"")</f>
        <v>Поток CTЗ по ТУ</v>
      </c>
      <c r="AB23" s="115" t="str">
        <f>IFERROR(INDEX(Расходка[Наименование расходного материала],MATCH(Расходка[[#This Row],[№]],Поиск_расходки[Индекс11],0)),"")</f>
        <v>Поток CTЗ по ТУ</v>
      </c>
      <c r="AC23" s="115" t="str">
        <f>IFERROR(INDEX(Расходка[Наименование расходного материала],MATCH(Расходка[[#This Row],[№]],Поиск_расходки[Индекс12],0)),"")</f>
        <v>Поток CTЗ по ТУ</v>
      </c>
      <c r="AD23" s="115" t="str">
        <f>IFERROR(INDEX(Расходка[Наименование расходного материала],MATCH(Расходка[[#This Row],[№]],Поиск_расходки[Индекс13],0)),"")</f>
        <v>Поток CTЗ по ТУ</v>
      </c>
      <c r="AF23" s="4" t="s">
        <v>5</v>
      </c>
      <c r="AG23" s="4" t="s">
        <v>422</v>
      </c>
    </row>
    <row r="24" spans="1:35">
      <c r="A24">
        <f>ROW(Расходка[[#This Row],[Тип расходного материала ]])-1</f>
        <v>23</v>
      </c>
      <c r="B24" t="s">
        <v>306</v>
      </c>
      <c r="C24" s="1" t="s">
        <v>306</v>
      </c>
      <c r="E24" s="116">
        <f>IF(ISNUMBER(SEARCH('Карта учёта'!$B$13,Расходка[[#This Row],[Наименование расходного материала]])),MAX($E$1:E23)+1,0)</f>
        <v>1</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0</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
      </c>
      <c r="AA24" s="115" t="str">
        <f>IFERROR(INDEX(Расходка[Наименование расходного материала],MATCH(Расходка[[#This Row],[№]],Поиск_расходки[Индекс10],0)),"")</f>
        <v>Индефлятор</v>
      </c>
      <c r="AB24" s="115" t="str">
        <f>IFERROR(INDEX(Расходка[Наименование расходного материала],MATCH(Расходка[[#This Row],[№]],Поиск_расходки[Индекс11],0)),"")</f>
        <v>Индефлятор</v>
      </c>
      <c r="AC24" s="115" t="str">
        <f>IFERROR(INDEX(Расходка[Наименование расходного материала],MATCH(Расходка[[#This Row],[№]],Поиск_расходки[Индекс12],0)),"")</f>
        <v>Индефлятор</v>
      </c>
      <c r="AD24" s="115" t="str">
        <f>IFERROR(INDEX(Расходка[Наименование расходного материала],MATCH(Расходка[[#This Row],[№]],Поиск_расходки[Индекс13],0)),"")</f>
        <v>Индефлятор</v>
      </c>
      <c r="AF24" s="4" t="s">
        <v>5</v>
      </c>
      <c r="AG24" s="4" t="s">
        <v>423</v>
      </c>
    </row>
    <row r="25" spans="1:35">
      <c r="A25">
        <f>ROW(Расходка[[#This Row],[Тип расходного материала ]])-1</f>
        <v>24</v>
      </c>
      <c r="B25" t="s">
        <v>3</v>
      </c>
      <c r="C25" t="s">
        <v>322</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0</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
      </c>
      <c r="AA25" s="115" t="str">
        <f>IFERROR(INDEX(Расходка[Наименование расходного материала],MATCH(Расходка[[#This Row],[№]],Поиск_расходки[Индекс10],0)),"")</f>
        <v>Cougar LS Hydro-Track®</v>
      </c>
      <c r="AB25" s="115" t="str">
        <f>IFERROR(INDEX(Расходка[Наименование расходного материала],MATCH(Расходка[[#This Row],[№]],Поиск_расходки[Индекс11],0)),"")</f>
        <v>Cougar LS Hydro-Track®</v>
      </c>
      <c r="AC25" s="115" t="str">
        <f>IFERROR(INDEX(Расходка[Наименование расходного материала],MATCH(Расходка[[#This Row],[№]],Поиск_расходки[Индекс12],0)),"")</f>
        <v>Cougar LS Hydro-Track®</v>
      </c>
      <c r="AD25" s="115" t="str">
        <f>IFERROR(INDEX(Расходка[Наименование расходного материала],MATCH(Расходка[[#This Row],[№]],Поиск_расходки[Индекс13],0)),"")</f>
        <v>Cougar LS Hydro-Track®</v>
      </c>
      <c r="AF25" s="4" t="s">
        <v>5</v>
      </c>
      <c r="AG25" s="4" t="s">
        <v>424</v>
      </c>
    </row>
    <row r="26" spans="1:35">
      <c r="A26">
        <f>ROW(Расходка[[#This Row],[Тип расходного материала ]])-1</f>
        <v>25</v>
      </c>
      <c r="B26" t="s">
        <v>3</v>
      </c>
      <c r="C26" t="s">
        <v>343</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0</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
      </c>
      <c r="AA26" s="115" t="str">
        <f>IFERROR(INDEX(Расходка[Наименование расходного материала],MATCH(Расходка[[#This Row],[№]],Поиск_расходки[Индекс10],0)),"")</f>
        <v>Cougar XT Hydro-Track®</v>
      </c>
      <c r="AB26" s="115" t="str">
        <f>IFERROR(INDEX(Расходка[Наименование расходного материала],MATCH(Расходка[[#This Row],[№]],Поиск_расходки[Индекс11],0)),"")</f>
        <v>Cougar XT Hydro-Track®</v>
      </c>
      <c r="AC26" s="115" t="str">
        <f>IFERROR(INDEX(Расходка[Наименование расходного материала],MATCH(Расходка[[#This Row],[№]],Поиск_расходки[Индекс12],0)),"")</f>
        <v>Cougar XT Hydro-Track®</v>
      </c>
      <c r="AD26" s="115" t="str">
        <f>IFERROR(INDEX(Расходка[Наименование расходного материала],MATCH(Расходка[[#This Row],[№]],Поиск_расходки[Индекс13],0)),"")</f>
        <v>Cougar XT Hydro-Track®</v>
      </c>
      <c r="AF26" s="4" t="s">
        <v>5</v>
      </c>
      <c r="AG26" s="4" t="s">
        <v>425</v>
      </c>
    </row>
    <row r="27" spans="1:35">
      <c r="A27">
        <f>ROW(Расходка[[#This Row],[Тип расходного материала ]])-1</f>
        <v>26</v>
      </c>
      <c r="B27" t="s">
        <v>3</v>
      </c>
      <c r="C27" t="s">
        <v>315</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0</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
      </c>
      <c r="AA27" s="115" t="str">
        <f>IFERROR(INDEX(Расходка[Наименование расходного материала],MATCH(Расходка[[#This Row],[№]],Поиск_расходки[Индекс10],0)),"")</f>
        <v>Fielder</v>
      </c>
      <c r="AB27" s="115" t="str">
        <f>IFERROR(INDEX(Расходка[Наименование расходного материала],MATCH(Расходка[[#This Row],[№]],Поиск_расходки[Индекс11],0)),"")</f>
        <v>Fielder</v>
      </c>
      <c r="AC27" s="115" t="str">
        <f>IFERROR(INDEX(Расходка[Наименование расходного материала],MATCH(Расходка[[#This Row],[№]],Поиск_расходки[Индекс12],0)),"")</f>
        <v>Fielder</v>
      </c>
      <c r="AD27" s="115" t="str">
        <f>IFERROR(INDEX(Расходка[Наименование расходного материала],MATCH(Расходка[[#This Row],[№]],Поиск_расходки[Индекс13],0)),"")</f>
        <v>Fielder</v>
      </c>
      <c r="AF27" s="4" t="s">
        <v>5</v>
      </c>
      <c r="AG27" s="4" t="s">
        <v>426</v>
      </c>
    </row>
    <row r="28" spans="1:35">
      <c r="A28">
        <f>ROW(Расходка[[#This Row],[Тип расходного материала ]])-1</f>
        <v>27</v>
      </c>
      <c r="B28" t="s">
        <v>3</v>
      </c>
      <c r="C28"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0</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
      </c>
      <c r="AA28" s="115" t="str">
        <f>IFERROR(INDEX(Расходка[Наименование расходного материала],MATCH(Расходка[[#This Row],[№]],Поиск_расходки[Индекс10],0)),"")</f>
        <v>Fielder XT-A</v>
      </c>
      <c r="AB28" s="115" t="str">
        <f>IFERROR(INDEX(Расходка[Наименование расходного материала],MATCH(Расходка[[#This Row],[№]],Поиск_расходки[Индекс11],0)),"")</f>
        <v>Fielder XT-A</v>
      </c>
      <c r="AC28" s="115" t="str">
        <f>IFERROR(INDEX(Расходка[Наименование расходного материала],MATCH(Расходка[[#This Row],[№]],Поиск_расходки[Индекс12],0)),"")</f>
        <v>Fielder XT-A</v>
      </c>
      <c r="AD28" s="115" t="str">
        <f>IFERROR(INDEX(Расходка[Наименование расходного материала],MATCH(Расходка[[#This Row],[№]],Поиск_расходки[Индекс13],0)),"")</f>
        <v>Fielder XT-A</v>
      </c>
      <c r="AF28" s="4" t="s">
        <v>5</v>
      </c>
      <c r="AG28" s="4" t="s">
        <v>427</v>
      </c>
    </row>
    <row r="29" spans="1:35">
      <c r="A29">
        <f>ROW(Расходка[[#This Row],[Тип расходного материала ]])-1</f>
        <v>28</v>
      </c>
      <c r="B29" t="s">
        <v>3</v>
      </c>
      <c r="C29" t="s">
        <v>374</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0</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
      </c>
      <c r="AA29" s="115" t="str">
        <f>IFERROR(INDEX(Расходка[Наименование расходного материала],MATCH(Расходка[[#This Row],[№]],Поиск_расходки[Индекс10],0)),"")</f>
        <v>Fielder XT-R</v>
      </c>
      <c r="AB29" s="115" t="str">
        <f>IFERROR(INDEX(Расходка[Наименование расходного материала],MATCH(Расходка[[#This Row],[№]],Поиск_расходки[Индекс11],0)),"")</f>
        <v>Fielder XT-R</v>
      </c>
      <c r="AC29" s="115" t="str">
        <f>IFERROR(INDEX(Расходка[Наименование расходного материала],MATCH(Расходка[[#This Row],[№]],Поиск_расходки[Индекс12],0)),"")</f>
        <v>Fielder XT-R</v>
      </c>
      <c r="AD29" s="115" t="str">
        <f>IFERROR(INDEX(Расходка[Наименование расходного материала],MATCH(Расходка[[#This Row],[№]],Поиск_расходки[Индекс13],0)),"")</f>
        <v>Fielder XT-R</v>
      </c>
      <c r="AF29" s="4" t="s">
        <v>5</v>
      </c>
      <c r="AG29" s="4" t="s">
        <v>428</v>
      </c>
    </row>
    <row r="30" spans="1:35">
      <c r="A30">
        <f>ROW(Расходка[[#This Row],[Тип расходного материала ]])-1</f>
        <v>29</v>
      </c>
      <c r="B30" t="s">
        <v>3</v>
      </c>
      <c r="C30" t="s">
        <v>512</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0</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
      </c>
      <c r="AA30" s="115" t="str">
        <f>IFERROR(INDEX(Расходка[Наименование расходного материала],MATCH(Расходка[[#This Row],[№]],Поиск_расходки[Индекс10],0)),"")</f>
        <v>Asahi Gaia First</v>
      </c>
      <c r="AB30" s="115" t="str">
        <f>IFERROR(INDEX(Расходка[Наименование расходного материала],MATCH(Расходка[[#This Row],[№]],Поиск_расходки[Индекс11],0)),"")</f>
        <v>Asahi Gaia First</v>
      </c>
      <c r="AC30" s="115" t="str">
        <f>IFERROR(INDEX(Расходка[Наименование расходного материала],MATCH(Расходка[[#This Row],[№]],Поиск_расходки[Индекс12],0)),"")</f>
        <v>Asahi Gaia First</v>
      </c>
      <c r="AD30" s="115" t="str">
        <f>IFERROR(INDEX(Расходка[Наименование расходного материала],MATCH(Расходка[[#This Row],[№]],Поиск_расходки[Индекс13],0)),"")</f>
        <v>Asahi Gaia First</v>
      </c>
      <c r="AF30" s="4" t="s">
        <v>5</v>
      </c>
      <c r="AG30" s="4" t="s">
        <v>490</v>
      </c>
    </row>
    <row r="31" spans="1:35">
      <c r="A31">
        <f>ROW(Расходка[[#This Row],[Тип расходного материала ]])-1</f>
        <v>30</v>
      </c>
      <c r="B31" t="s">
        <v>3</v>
      </c>
      <c r="C31" s="1" t="s">
        <v>513</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
      </c>
      <c r="AA31" s="115" t="str">
        <f>IFERROR(INDEX(Расходка[Наименование расходного материала],MATCH(Расходка[[#This Row],[№]],Поиск_расходки[Индекс10],0)),"")</f>
        <v>Asahi Gaia Second</v>
      </c>
      <c r="AB31" s="115" t="str">
        <f>IFERROR(INDEX(Расходка[Наименование расходного материала],MATCH(Расходка[[#This Row],[№]],Поиск_расходки[Индекс11],0)),"")</f>
        <v>Asahi Gaia Second</v>
      </c>
      <c r="AC31" s="115" t="str">
        <f>IFERROR(INDEX(Расходка[Наименование расходного материала],MATCH(Расходка[[#This Row],[№]],Поиск_расходки[Индекс12],0)),"")</f>
        <v>Asahi Gaia Second</v>
      </c>
      <c r="AD31" s="115" t="str">
        <f>IFERROR(INDEX(Расходка[Наименование расходного материала],MATCH(Расходка[[#This Row],[№]],Поиск_расходки[Индекс13],0)),"")</f>
        <v>Asahi Gaia Second</v>
      </c>
      <c r="AF31" s="4" t="s">
        <v>5</v>
      </c>
      <c r="AG31" s="4" t="s">
        <v>429</v>
      </c>
    </row>
    <row r="32" spans="1:35">
      <c r="A32">
        <f>ROW(Расходка[[#This Row],[Тип расходного материала ]])-1</f>
        <v>31</v>
      </c>
      <c r="B32" t="s">
        <v>3</v>
      </c>
      <c r="C32" s="1" t="s">
        <v>514</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0</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
      </c>
      <c r="AA32" s="115" t="str">
        <f>IFERROR(INDEX(Расходка[Наименование расходного материала],MATCH(Расходка[[#This Row],[№]],Поиск_расходки[Индекс10],0)),"")</f>
        <v>Asahi Gaia Third</v>
      </c>
      <c r="AB32" s="115" t="str">
        <f>IFERROR(INDEX(Расходка[Наименование расходного материала],MATCH(Расходка[[#This Row],[№]],Поиск_расходки[Индекс11],0)),"")</f>
        <v>Asahi Gaia Third</v>
      </c>
      <c r="AC32" s="115" t="str">
        <f>IFERROR(INDEX(Расходка[Наименование расходного материала],MATCH(Расходка[[#This Row],[№]],Поиск_расходки[Индекс12],0)),"")</f>
        <v>Asahi Gaia Third</v>
      </c>
      <c r="AD32" s="115" t="str">
        <f>IFERROR(INDEX(Расходка[Наименование расходного материала],MATCH(Расходка[[#This Row],[№]],Поиск_расходки[Индекс13],0)),"")</f>
        <v>Asahi Gaia Third</v>
      </c>
      <c r="AF32" s="4" t="s">
        <v>5</v>
      </c>
      <c r="AG32" s="4" t="s">
        <v>430</v>
      </c>
    </row>
    <row r="33" spans="1:33">
      <c r="A33">
        <f>ROW(Расходка[[#This Row],[Тип расходного материала ]])-1</f>
        <v>32</v>
      </c>
      <c r="B33" t="s">
        <v>3</v>
      </c>
      <c r="C33" s="1" t="s">
        <v>323</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0</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
      </c>
      <c r="AA33" s="115" t="str">
        <f>IFERROR(INDEX(Расходка[Наименование расходного материала],MATCH(Расходка[[#This Row],[№]],Поиск_расходки[Индекс10],0)),"")</f>
        <v>Intuition</v>
      </c>
      <c r="AB33" s="115" t="str">
        <f>IFERROR(INDEX(Расходка[Наименование расходного материала],MATCH(Расходка[[#This Row],[№]],Поиск_расходки[Индекс11],0)),"")</f>
        <v>Intuition</v>
      </c>
      <c r="AC33" s="115" t="str">
        <f>IFERROR(INDEX(Расходка[Наименование расходного материала],MATCH(Расходка[[#This Row],[№]],Поиск_расходки[Индекс12],0)),"")</f>
        <v>Intuition</v>
      </c>
      <c r="AD33" s="115" t="str">
        <f>IFERROR(INDEX(Расходка[Наименование расходного материала],MATCH(Расходка[[#This Row],[№]],Поиск_расходки[Индекс13],0)),"")</f>
        <v>Intuition</v>
      </c>
      <c r="AF33" s="4" t="s">
        <v>5</v>
      </c>
      <c r="AG33" s="4" t="s">
        <v>431</v>
      </c>
    </row>
    <row r="34" spans="1:33">
      <c r="A34">
        <f>ROW(Расходка[[#This Row],[Тип расходного материала ]])-1</f>
        <v>33</v>
      </c>
      <c r="B34" t="s">
        <v>3</v>
      </c>
      <c r="C34" t="s">
        <v>319</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0</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
      </c>
      <c r="AA34" s="115" t="str">
        <f>IFERROR(INDEX(Расходка[Наименование расходного материала],MATCH(Расходка[[#This Row],[№]],Поиск_расходки[Индекс10],0)),"")</f>
        <v>ProVia 3 Hydro-Track®</v>
      </c>
      <c r="AB34" s="115" t="str">
        <f>IFERROR(INDEX(Расходка[Наименование расходного материала],MATCH(Расходка[[#This Row],[№]],Поиск_расходки[Индекс11],0)),"")</f>
        <v>ProVia 3 Hydro-Track®</v>
      </c>
      <c r="AC34" s="115" t="str">
        <f>IFERROR(INDEX(Расходка[Наименование расходного материала],MATCH(Расходка[[#This Row],[№]],Поиск_расходки[Индекс12],0)),"")</f>
        <v>ProVia 3 Hydro-Track®</v>
      </c>
      <c r="AD34" s="115" t="str">
        <f>IFERROR(INDEX(Расходка[Наименование расходного материала],MATCH(Расходка[[#This Row],[№]],Поиск_расходки[Индекс13],0)),"")</f>
        <v>ProVia 3 Hydro-Track®</v>
      </c>
      <c r="AF34" s="4" t="s">
        <v>5</v>
      </c>
      <c r="AG34" s="4" t="s">
        <v>432</v>
      </c>
    </row>
    <row r="35" spans="1:33">
      <c r="A35">
        <f>ROW(Расходка[[#This Row],[Тип расходного материала ]])-1</f>
        <v>34</v>
      </c>
      <c r="B35" t="s">
        <v>3</v>
      </c>
      <c r="C35" t="s">
        <v>320</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0</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
      </c>
      <c r="AA35" s="115" t="str">
        <f>IFERROR(INDEX(Расходка[Наименование расходного материала],MATCH(Расходка[[#This Row],[№]],Поиск_расходки[Индекс10],0)),"")</f>
        <v>ProVia 6 Hydro-Track®</v>
      </c>
      <c r="AB35" s="115" t="str">
        <f>IFERROR(INDEX(Расходка[Наименование расходного материала],MATCH(Расходка[[#This Row],[№]],Поиск_расходки[Индекс11],0)),"")</f>
        <v>ProVia 6 Hydro-Track®</v>
      </c>
      <c r="AC35" s="115" t="str">
        <f>IFERROR(INDEX(Расходка[Наименование расходного материала],MATCH(Расходка[[#This Row],[№]],Поиск_расходки[Индекс12],0)),"")</f>
        <v>ProVia 6 Hydro-Track®</v>
      </c>
      <c r="AD35" s="115" t="str">
        <f>IFERROR(INDEX(Расходка[Наименование расходного материала],MATCH(Расходка[[#This Row],[№]],Поиск_расходки[Индекс13],0)),"")</f>
        <v>ProVia 6 Hydro-Track®</v>
      </c>
      <c r="AF35" s="4" t="s">
        <v>5</v>
      </c>
      <c r="AG35" s="4" t="s">
        <v>491</v>
      </c>
    </row>
    <row r="36" spans="1:33">
      <c r="A36">
        <f>ROW(Расходка[[#This Row],[Тип расходного материала ]])-1</f>
        <v>35</v>
      </c>
      <c r="B36" t="s">
        <v>3</v>
      </c>
      <c r="C36" t="s">
        <v>321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0</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
      </c>
      <c r="AA36" s="115" t="str">
        <f>IFERROR(INDEX(Расходка[Наименование расходного материала],MATCH(Расходка[[#This Row],[№]],Поиск_расходки[Индекс10],0)),"")</f>
        <v>ProVia 9 Hydro-Track®</v>
      </c>
      <c r="AB36" s="115" t="str">
        <f>IFERROR(INDEX(Расходка[Наименование расходного материала],MATCH(Расходка[[#This Row],[№]],Поиск_расходки[Индекс11],0)),"")</f>
        <v>ProVia 9 Hydro-Track®</v>
      </c>
      <c r="AC36" s="115" t="str">
        <f>IFERROR(INDEX(Расходка[Наименование расходного материала],MATCH(Расходка[[#This Row],[№]],Поиск_расходки[Индекс12],0)),"")</f>
        <v>ProVia 9 Hydro-Track®</v>
      </c>
      <c r="AD36" s="115" t="str">
        <f>IFERROR(INDEX(Расходка[Наименование расходного материала],MATCH(Расходка[[#This Row],[№]],Поиск_расходки[Индекс13],0)),"")</f>
        <v>ProVia 9 Hydro-Track®</v>
      </c>
      <c r="AF36" s="4" t="s">
        <v>5</v>
      </c>
      <c r="AG36" s="4" t="s">
        <v>433</v>
      </c>
    </row>
    <row r="37" spans="1:33">
      <c r="A37">
        <f>ROW(Расходка[[#This Row],[Тип расходного материала ]])-1</f>
        <v>36</v>
      </c>
      <c r="B37" t="s">
        <v>3</v>
      </c>
      <c r="C37" t="s">
        <v>317</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0</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
      </c>
      <c r="AA37" s="115" t="str">
        <f>IFERROR(INDEX(Расходка[Наименование расходного материала],MATCH(Расходка[[#This Row],[№]],Поиск_расходки[Индекс10],0)),"")</f>
        <v>Rinato</v>
      </c>
      <c r="AB37" s="115" t="str">
        <f>IFERROR(INDEX(Расходка[Наименование расходного материала],MATCH(Расходка[[#This Row],[№]],Поиск_расходки[Индекс11],0)),"")</f>
        <v>Rinato</v>
      </c>
      <c r="AC37" s="115" t="str">
        <f>IFERROR(INDEX(Расходка[Наименование расходного материала],MATCH(Расходка[[#This Row],[№]],Поиск_расходки[Индекс12],0)),"")</f>
        <v>Rinato</v>
      </c>
      <c r="AD37" s="115" t="str">
        <f>IFERROR(INDEX(Расходка[Наименование расходного материала],MATCH(Расходка[[#This Row],[№]],Поиск_расходки[Индекс13],0)),"")</f>
        <v>Rinato</v>
      </c>
      <c r="AF37" s="4" t="s">
        <v>6</v>
      </c>
      <c r="AG37" s="4" t="s">
        <v>406</v>
      </c>
    </row>
    <row r="38" spans="1:33">
      <c r="A38">
        <f>ROW(Расходка[[#This Row],[Тип расходного материала ]])-1</f>
        <v>37</v>
      </c>
      <c r="B38" t="s">
        <v>3</v>
      </c>
      <c r="C38" s="1" t="s">
        <v>354</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0</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
      </c>
      <c r="AA38" s="115" t="str">
        <f>IFERROR(INDEX(Расходка[Наименование расходного материала],MATCH(Расходка[[#This Row],[№]],Поиск_расходки[Индекс10],0)),"")</f>
        <v>Runthrough NS (Floppy)</v>
      </c>
      <c r="AB38" s="115" t="str">
        <f>IFERROR(INDEX(Расходка[Наименование расходного материала],MATCH(Расходка[[#This Row],[№]],Поиск_расходки[Индекс11],0)),"")</f>
        <v>Runthrough NS (Floppy)</v>
      </c>
      <c r="AC38" s="115" t="str">
        <f>IFERROR(INDEX(Расходка[Наименование расходного материала],MATCH(Расходка[[#This Row],[№]],Поиск_расходки[Индекс12],0)),"")</f>
        <v>Runthrough NS (Floppy)</v>
      </c>
      <c r="AD38" s="115" t="str">
        <f>IFERROR(INDEX(Расходка[Наименование расходного материала],MATCH(Расходка[[#This Row],[№]],Поиск_расходки[Индекс13],0)),"")</f>
        <v>Runthrough NS (Floppy)</v>
      </c>
      <c r="AF38" s="4" t="s">
        <v>6</v>
      </c>
      <c r="AG38" s="4" t="s">
        <v>493</v>
      </c>
    </row>
    <row r="39" spans="1:33">
      <c r="A39">
        <f>ROW(Расходка[[#This Row],[Тип расходного материала ]])-1</f>
        <v>38</v>
      </c>
      <c r="B39" t="s">
        <v>3</v>
      </c>
      <c r="C39" s="1" t="s">
        <v>361</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0</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
      </c>
      <c r="AA39" s="115" t="str">
        <f>IFERROR(INDEX(Расходка[Наименование расходного материала],MATCH(Расходка[[#This Row],[№]],Поиск_расходки[Индекс10],0)),"")</f>
        <v>Runthrough NS Hypercoat</v>
      </c>
      <c r="AB39" s="115" t="str">
        <f>IFERROR(INDEX(Расходка[Наименование расходного материала],MATCH(Расходка[[#This Row],[№]],Поиск_расходки[Индекс11],0)),"")</f>
        <v>Runthrough NS Hypercoat</v>
      </c>
      <c r="AC39" s="115" t="str">
        <f>IFERROR(INDEX(Расходка[Наименование расходного материала],MATCH(Расходка[[#This Row],[№]],Поиск_расходки[Индекс12],0)),"")</f>
        <v>Runthrough NS Hypercoat</v>
      </c>
      <c r="AD39" s="115" t="str">
        <f>IFERROR(INDEX(Расходка[Наименование расходного материала],MATCH(Расходка[[#This Row],[№]],Поиск_расходки[Индекс13],0)),"")</f>
        <v>Runthrough NS Hypercoat</v>
      </c>
      <c r="AF39" s="4" t="s">
        <v>6</v>
      </c>
      <c r="AG39" s="4" t="s">
        <v>434</v>
      </c>
    </row>
    <row r="40" spans="1:33">
      <c r="A40">
        <f>ROW(Расходка[[#This Row],[Тип расходного материала ]])-1</f>
        <v>39</v>
      </c>
      <c r="B40" t="s">
        <v>3</v>
      </c>
      <c r="C40" s="1" t="s">
        <v>360</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0</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
      </c>
      <c r="AA40" s="115" t="str">
        <f>IFERROR(INDEX(Расходка[Наименование расходного материала],MATCH(Расходка[[#This Row],[№]],Поиск_расходки[Индекс10],0)),"")</f>
        <v>Runthrough NS Intermediate</v>
      </c>
      <c r="AB40" s="115" t="str">
        <f>IFERROR(INDEX(Расходка[Наименование расходного материала],MATCH(Расходка[[#This Row],[№]],Поиск_расходки[Индекс11],0)),"")</f>
        <v>Runthrough NS Intermediate</v>
      </c>
      <c r="AC40" s="115" t="str">
        <f>IFERROR(INDEX(Расходка[Наименование расходного материала],MATCH(Расходка[[#This Row],[№]],Поиск_расходки[Индекс12],0)),"")</f>
        <v>Runthrough NS Intermediate</v>
      </c>
      <c r="AD40" s="115" t="str">
        <f>IFERROR(INDEX(Расходка[Наименование расходного материала],MATCH(Расходка[[#This Row],[№]],Поиск_расходки[Индекс13],0)),"")</f>
        <v>Runthrough NS Intermediate</v>
      </c>
      <c r="AF40" s="4" t="s">
        <v>6</v>
      </c>
      <c r="AG40" s="4" t="s">
        <v>435</v>
      </c>
    </row>
    <row r="41" spans="1:33">
      <c r="A41">
        <f>ROW(Расходка[[#This Row],[Тип расходного материала ]])-1</f>
        <v>40</v>
      </c>
      <c r="B41" t="s">
        <v>3</v>
      </c>
      <c r="C41" t="s">
        <v>316</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
      </c>
      <c r="AA41" s="115" t="str">
        <f>IFERROR(INDEX(Расходка[Наименование расходного материала],MATCH(Расходка[[#This Row],[№]],Поиск_расходки[Индекс10],0)),"")</f>
        <v>Sion</v>
      </c>
      <c r="AB41" s="115" t="str">
        <f>IFERROR(INDEX(Расходка[Наименование расходного материала],MATCH(Расходка[[#This Row],[№]],Поиск_расходки[Индекс11],0)),"")</f>
        <v>Sion</v>
      </c>
      <c r="AC41" s="115" t="str">
        <f>IFERROR(INDEX(Расходка[Наименование расходного материала],MATCH(Расходка[[#This Row],[№]],Поиск_расходки[Индекс12],0)),"")</f>
        <v>Sion</v>
      </c>
      <c r="AD41" s="115" t="str">
        <f>IFERROR(INDEX(Расходка[Наименование расходного материала],MATCH(Расходка[[#This Row],[№]],Поиск_расходки[Индекс13],0)),"")</f>
        <v>Sion</v>
      </c>
      <c r="AF41" s="4" t="s">
        <v>6</v>
      </c>
      <c r="AG41" s="4" t="s">
        <v>436</v>
      </c>
    </row>
    <row r="42" spans="1:33">
      <c r="A42">
        <f>ROW(Расходка[[#This Row],[Тип расходного материала ]])-1</f>
        <v>41</v>
      </c>
      <c r="B42" t="s">
        <v>3</v>
      </c>
      <c r="C42" t="s">
        <v>378</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0</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
      </c>
      <c r="AA42" s="115" t="str">
        <f>IFERROR(INDEX(Расходка[Наименование расходного материала],MATCH(Расходка[[#This Row],[№]],Поиск_расходки[Индекс10],0)),"")</f>
        <v>Sion Black</v>
      </c>
      <c r="AB42" s="115" t="str">
        <f>IFERROR(INDEX(Расходка[Наименование расходного материала],MATCH(Расходка[[#This Row],[№]],Поиск_расходки[Индекс11],0)),"")</f>
        <v>Sion Black</v>
      </c>
      <c r="AC42" s="115" t="str">
        <f>IFERROR(INDEX(Расходка[Наименование расходного материала],MATCH(Расходка[[#This Row],[№]],Поиск_расходки[Индекс12],0)),"")</f>
        <v>Sion Black</v>
      </c>
      <c r="AD42" s="115" t="str">
        <f>IFERROR(INDEX(Расходка[Наименование расходного материала],MATCH(Расходка[[#This Row],[№]],Поиск_расходки[Индекс13],0)),"")</f>
        <v>Sion Black</v>
      </c>
      <c r="AF42" s="4" t="s">
        <v>6</v>
      </c>
      <c r="AG42" s="4" t="s">
        <v>437</v>
      </c>
    </row>
    <row r="43" spans="1:33">
      <c r="A43">
        <f>ROW(Расходка[[#This Row],[Тип расходного материала ]])-1</f>
        <v>42</v>
      </c>
      <c r="B43" t="s">
        <v>3</v>
      </c>
      <c r="C43" s="1" t="s">
        <v>372</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0</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
      </c>
      <c r="AA43" s="115" t="str">
        <f>IFERROR(INDEX(Расходка[Наименование расходного материала],MATCH(Расходка[[#This Row],[№]],Поиск_расходки[Индекс10],0)),"")</f>
        <v>Sion Blue</v>
      </c>
      <c r="AB43" s="115" t="str">
        <f>IFERROR(INDEX(Расходка[Наименование расходного материала],MATCH(Расходка[[#This Row],[№]],Поиск_расходки[Индекс11],0)),"")</f>
        <v>Sion Blue</v>
      </c>
      <c r="AC43" s="115" t="str">
        <f>IFERROR(INDEX(Расходка[Наименование расходного материала],MATCH(Расходка[[#This Row],[№]],Поиск_расходки[Индекс12],0)),"")</f>
        <v>Sion Blue</v>
      </c>
      <c r="AD43" s="115" t="str">
        <f>IFERROR(INDEX(Расходка[Наименование расходного материала],MATCH(Расходка[[#This Row],[№]],Поиск_расходки[Индекс13],0)),"")</f>
        <v>Sion Blue</v>
      </c>
      <c r="AF43" s="4" t="s">
        <v>6</v>
      </c>
      <c r="AG43" s="4" t="s">
        <v>410</v>
      </c>
    </row>
    <row r="44" spans="1:33">
      <c r="A44">
        <f>ROW(Расходка[[#This Row],[Тип расходного материала ]])-1</f>
        <v>43</v>
      </c>
      <c r="B44" t="s">
        <v>3</v>
      </c>
      <c r="C44" t="s">
        <v>318</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0</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
      </c>
      <c r="AA44" s="115" t="str">
        <f>IFERROR(INDEX(Расходка[Наименование расходного материала],MATCH(Расходка[[#This Row],[№]],Поиск_расходки[Индекс10],0)),"")</f>
        <v>Thunder</v>
      </c>
      <c r="AB44" s="115" t="str">
        <f>IFERROR(INDEX(Расходка[Наименование расходного материала],MATCH(Расходка[[#This Row],[№]],Поиск_расходки[Индекс11],0)),"")</f>
        <v>Thunder</v>
      </c>
      <c r="AC44" s="115" t="str">
        <f>IFERROR(INDEX(Расходка[Наименование расходного материала],MATCH(Расходка[[#This Row],[№]],Поиск_расходки[Индекс12],0)),"")</f>
        <v>Thunder</v>
      </c>
      <c r="AD44" s="115" t="str">
        <f>IFERROR(INDEX(Расходка[Наименование расходного материала],MATCH(Расходка[[#This Row],[№]],Поиск_расходки[Индекс13],0)),"")</f>
        <v>Thunder</v>
      </c>
      <c r="AF44" s="4" t="s">
        <v>6</v>
      </c>
      <c r="AG44" s="4" t="s">
        <v>438</v>
      </c>
    </row>
    <row r="45" spans="1:33">
      <c r="A45">
        <f>ROW(Расходка[[#This Row],[Тип расходного материала ]])-1</f>
        <v>44</v>
      </c>
      <c r="B45" t="s">
        <v>3</v>
      </c>
      <c r="C45" t="s">
        <v>522</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0</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
      </c>
      <c r="AA45" s="115" t="str">
        <f>IFERROR(INDEX(Расходка[Наименование расходного материала],MATCH(Расходка[[#This Row],[№]],Поиск_расходки[Индекс10],0)),"")</f>
        <v>Abbot Whisper MS</v>
      </c>
      <c r="AB45" s="115" t="str">
        <f>IFERROR(INDEX(Расходка[Наименование расходного материала],MATCH(Расходка[[#This Row],[№]],Поиск_расходки[Индекс11],0)),"")</f>
        <v>Abbot Whisper MS</v>
      </c>
      <c r="AC45" s="115" t="str">
        <f>IFERROR(INDEX(Расходка[Наименование расходного материала],MATCH(Расходка[[#This Row],[№]],Поиск_расходки[Индекс12],0)),"")</f>
        <v>Abbot Whisper MS</v>
      </c>
      <c r="AD45" s="115" t="str">
        <f>IFERROR(INDEX(Расходка[Наименование расходного материала],MATCH(Расходка[[#This Row],[№]],Поиск_расходки[Индекс13],0)),"")</f>
        <v>Abbot Whisper MS</v>
      </c>
      <c r="AF45" s="4" t="s">
        <v>6</v>
      </c>
      <c r="AG45" s="4" t="s">
        <v>439</v>
      </c>
    </row>
    <row r="46" spans="1:33">
      <c r="A46">
        <f>ROW(Расходка[[#This Row],[Тип расходного материала ]])-1</f>
        <v>45</v>
      </c>
      <c r="B46" t="s">
        <v>3</v>
      </c>
      <c r="C46" t="s">
        <v>523</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0</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
      </c>
      <c r="AA46" s="115" t="str">
        <f>IFERROR(INDEX(Расходка[Наименование расходного материала],MATCH(Расходка[[#This Row],[№]],Поиск_расходки[Индекс10],0)),"")</f>
        <v>Abbot Whisper LS</v>
      </c>
      <c r="AB46" s="115" t="str">
        <f>IFERROR(INDEX(Расходка[Наименование расходного материала],MATCH(Расходка[[#This Row],[№]],Поиск_расходки[Индекс11],0)),"")</f>
        <v>Abbot Whisper LS</v>
      </c>
      <c r="AC46" s="115" t="str">
        <f>IFERROR(INDEX(Расходка[Наименование расходного материала],MATCH(Расходка[[#This Row],[№]],Поиск_расходки[Индекс12],0)),"")</f>
        <v>Abbot Whisper LS</v>
      </c>
      <c r="AD46" s="115" t="str">
        <f>IFERROR(INDEX(Расходка[Наименование расходного материала],MATCH(Расходка[[#This Row],[№]],Поиск_расходки[Индекс13],0)),"")</f>
        <v>Abbot Whisper LS</v>
      </c>
      <c r="AF46" s="4" t="s">
        <v>6</v>
      </c>
      <c r="AG46" s="4" t="s">
        <v>440</v>
      </c>
    </row>
    <row r="47" spans="1:33">
      <c r="A47">
        <f>ROW(Расходка[[#This Row],[Тип расходного материала ]])-1</f>
        <v>46</v>
      </c>
      <c r="B47" t="s">
        <v>3</v>
      </c>
      <c r="C47" t="s">
        <v>362</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0</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
      </c>
      <c r="AA47" s="115" t="str">
        <f>IFERROR(INDEX(Расходка[Наименование расходного материала],MATCH(Расходка[[#This Row],[№]],Поиск_расходки[Индекс10],0)),"")</f>
        <v>Winn 200T</v>
      </c>
      <c r="AB47" s="115" t="str">
        <f>IFERROR(INDEX(Расходка[Наименование расходного материала],MATCH(Расходка[[#This Row],[№]],Поиск_расходки[Индекс11],0)),"")</f>
        <v>Winn 200T</v>
      </c>
      <c r="AC47" s="115" t="str">
        <f>IFERROR(INDEX(Расходка[Наименование расходного материала],MATCH(Расходка[[#This Row],[№]],Поиск_расходки[Индекс12],0)),"")</f>
        <v>Winn 200T</v>
      </c>
      <c r="AD47" s="115" t="str">
        <f>IFERROR(INDEX(Расходка[Наименование расходного материала],MATCH(Расходка[[#This Row],[№]],Поиск_расходки[Индекс13],0)),"")</f>
        <v>Winn 200T</v>
      </c>
      <c r="AF47" s="4" t="s">
        <v>6</v>
      </c>
      <c r="AG47" s="4" t="s">
        <v>441</v>
      </c>
    </row>
    <row r="48" spans="1:33">
      <c r="A48">
        <f>ROW(Расходка[[#This Row],[Тип расходного материала ]])-1</f>
        <v>47</v>
      </c>
      <c r="B48" t="s">
        <v>3</v>
      </c>
      <c r="C48" t="s">
        <v>347</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0</v>
      </c>
      <c r="L48" s="116">
        <f>IF(ISNUMBER(SEARCH('Карта учёта'!$B$20,Расходка[[#This Row],[Наименование расходного материала]])),MAX($L$1:L47)+1,0)</f>
        <v>0</v>
      </c>
      <c r="M48" s="116">
        <f>IF(ISNUMBER(SEARCH('Карта учёта'!$B$21,Расходка[[#This Row],[Наименование расходного материала]])),MAX($M$1:M47)+1,0)</f>
        <v>0</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
      </c>
      <c r="AA48" s="115" t="str">
        <f>IFERROR(INDEX(Расходка[Наименование расходного материала],MATCH(Расходка[[#This Row],[№]],Поиск_расходки[Индекс10],0)),"")</f>
        <v>Проводник коронарный  1g, Angioline</v>
      </c>
      <c r="AB48" s="115" t="str">
        <f>IFERROR(INDEX(Расходка[Наименование расходного материала],MATCH(Расходка[[#This Row],[№]],Поиск_расходки[Индекс11],0)),"")</f>
        <v>Проводник коронарный  1g, Angioline</v>
      </c>
      <c r="AC48" s="115" t="str">
        <f>IFERROR(INDEX(Расходка[Наименование расходного материала],MATCH(Расходка[[#This Row],[№]],Поиск_расходки[Индекс12],0)),"")</f>
        <v>Проводник коронарный  1g, Angioline</v>
      </c>
      <c r="AD48" s="115" t="str">
        <f>IFERROR(INDEX(Расходка[Наименование расходного материала],MATCH(Расходка[[#This Row],[№]],Поиск_расходки[Индекс13],0)),"")</f>
        <v>Проводник коронарный  1g, Angioline</v>
      </c>
      <c r="AF48" s="4" t="s">
        <v>6</v>
      </c>
      <c r="AG48" s="4" t="s">
        <v>442</v>
      </c>
    </row>
    <row r="49" spans="1:33">
      <c r="A49">
        <f>ROW(Расходка[[#This Row],[Тип расходного материала ]])-1</f>
        <v>48</v>
      </c>
      <c r="B49" t="s">
        <v>3</v>
      </c>
      <c r="C49" t="s">
        <v>511</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0</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
      </c>
      <c r="AA49" s="115" t="str">
        <f>IFERROR(INDEX(Расходка[Наименование расходного материала],MATCH(Расходка[[#This Row],[№]],Поиск_расходки[Индекс10],0)),"")</f>
        <v>Проводник коронарный  0,8g, Angioline</v>
      </c>
      <c r="AB49" s="115" t="str">
        <f>IFERROR(INDEX(Расходка[Наименование расходного материала],MATCH(Расходка[[#This Row],[№]],Поиск_расходки[Индекс11],0)),"")</f>
        <v>Проводник коронарный  0,8g, Angioline</v>
      </c>
      <c r="AC49" s="115" t="str">
        <f>IFERROR(INDEX(Расходка[Наименование расходного материала],MATCH(Расходка[[#This Row],[№]],Поиск_расходки[Индекс12],0)),"")</f>
        <v>Проводник коронарный  0,8g, Angioline</v>
      </c>
      <c r="AD49" s="115" t="str">
        <f>IFERROR(INDEX(Расходка[Наименование расходного материала],MATCH(Расходка[[#This Row],[№]],Поиск_расходки[Индекс13],0)),"")</f>
        <v>Проводник коронарный  0,8g, Angioline</v>
      </c>
      <c r="AF49" s="4" t="s">
        <v>6</v>
      </c>
      <c r="AG49" s="4" t="s">
        <v>443</v>
      </c>
    </row>
    <row r="50" spans="1:33">
      <c r="A50">
        <f>ROW(Расходка[[#This Row],[Тип расходного материала ]])-1</f>
        <v>49</v>
      </c>
      <c r="B50" t="s">
        <v>3</v>
      </c>
      <c r="C50" t="s">
        <v>96</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0</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
      </c>
      <c r="AA50" s="115" t="str">
        <f>IFERROR(INDEX(Расходка[Наименование расходного материала],MATCH(Расходка[[#This Row],[№]],Поиск_расходки[Индекс10],0)),"")</f>
        <v>Проводник коронарный  3g, Angioline</v>
      </c>
      <c r="AB50" s="115" t="str">
        <f>IFERROR(INDEX(Расходка[Наименование расходного материала],MATCH(Расходка[[#This Row],[№]],Поиск_расходки[Индекс11],0)),"")</f>
        <v>Проводник коронарный  3g, Angioline</v>
      </c>
      <c r="AC50" s="115" t="str">
        <f>IFERROR(INDEX(Расходка[Наименование расходного материала],MATCH(Расходка[[#This Row],[№]],Поиск_расходки[Индекс12],0)),"")</f>
        <v>Проводник коронарный  3g, Angioline</v>
      </c>
      <c r="AD50" s="115" t="str">
        <f>IFERROR(INDEX(Расходка[Наименование расходного материала],MATCH(Расходка[[#This Row],[№]],Поиск_расходки[Индекс13],0)),"")</f>
        <v>Проводник коронарный  3g, Angioline</v>
      </c>
      <c r="AF50" s="4" t="s">
        <v>6</v>
      </c>
      <c r="AG50" s="4" t="s">
        <v>444</v>
      </c>
    </row>
    <row r="51" spans="1:33">
      <c r="A51">
        <f>ROW(Расходка[[#This Row],[Тип расходного материала ]])-1</f>
        <v>50</v>
      </c>
      <c r="B51" t="s">
        <v>3</v>
      </c>
      <c r="C51" t="s">
        <v>509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
      </c>
      <c r="AA51" s="115" t="str">
        <f>IFERROR(INDEX(Расходка[Наименование расходного материала],MATCH(Расходка[[#This Row],[№]],Поиск_расходки[Индекс10],0)),"")</f>
        <v xml:space="preserve">Balancium </v>
      </c>
      <c r="AB51" s="115" t="str">
        <f>IFERROR(INDEX(Расходка[Наименование расходного материала],MATCH(Расходка[[#This Row],[№]],Поиск_расходки[Индекс11],0)),"")</f>
        <v xml:space="preserve">Balancium </v>
      </c>
      <c r="AC51" s="115" t="str">
        <f>IFERROR(INDEX(Расходка[Наименование расходного материала],MATCH(Расходка[[#This Row],[№]],Поиск_расходки[Индекс12],0)),"")</f>
        <v xml:space="preserve">Balancium </v>
      </c>
      <c r="AD51" s="115" t="str">
        <f>IFERROR(INDEX(Расходка[Наименование расходного материала],MATCH(Расходка[[#This Row],[№]],Поиск_расходки[Индекс13],0)),"")</f>
        <v xml:space="preserve">Balancium </v>
      </c>
      <c r="AF51" s="4" t="s">
        <v>6</v>
      </c>
      <c r="AG51" s="4" t="s">
        <v>445</v>
      </c>
    </row>
    <row r="52" spans="1:33">
      <c r="A52">
        <f>ROW(Расходка[[#This Row],[Тип расходного материала ]])-1</f>
        <v>51</v>
      </c>
      <c r="B52" t="s">
        <v>3</v>
      </c>
      <c r="C52" t="s">
        <v>520</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1</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0</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
      </c>
      <c r="AA52" s="115" t="str">
        <f>IFERROR(INDEX(Расходка[Наименование расходного материала],MATCH(Расходка[[#This Row],[№]],Поиск_расходки[Индекс10],0)),"")</f>
        <v>Shunmei</v>
      </c>
      <c r="AB52" s="115" t="str">
        <f>IFERROR(INDEX(Расходка[Наименование расходного материала],MATCH(Расходка[[#This Row],[№]],Поиск_расходки[Индекс11],0)),"")</f>
        <v>Shunmei</v>
      </c>
      <c r="AC52" s="115" t="str">
        <f>IFERROR(INDEX(Расходка[Наименование расходного материала],MATCH(Расходка[[#This Row],[№]],Поиск_расходки[Индекс12],0)),"")</f>
        <v>Shunmei</v>
      </c>
      <c r="AD52" s="115" t="str">
        <f>IFERROR(INDEX(Расходка[Наименование расходного материала],MATCH(Расходка[[#This Row],[№]],Поиск_расходки[Индекс13],0)),"")</f>
        <v>Shunmei</v>
      </c>
      <c r="AF52" s="4" t="s">
        <v>6</v>
      </c>
      <c r="AG52" s="4" t="s">
        <v>446</v>
      </c>
    </row>
    <row r="53" spans="1:33">
      <c r="A53">
        <f>ROW(Расходка[[#This Row],[Тип расходного материала ]])-1</f>
        <v>52</v>
      </c>
      <c r="B53" t="s">
        <v>3</v>
      </c>
      <c r="C53" t="s">
        <v>536</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1</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0</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
      </c>
      <c r="AA53" s="115" t="str">
        <f>IFERROR(INDEX(Расходка[Наименование расходного материала],MATCH(Расходка[[#This Row],[№]],Поиск_расходки[Индекс10],0)),"")</f>
        <v>Pilot 150</v>
      </c>
      <c r="AB53" s="115" t="str">
        <f>IFERROR(INDEX(Расходка[Наименование расходного материала],MATCH(Расходка[[#This Row],[№]],Поиск_расходки[Индекс11],0)),"")</f>
        <v>Pilot 150</v>
      </c>
      <c r="AC53" s="115" t="str">
        <f>IFERROR(INDEX(Расходка[Наименование расходного материала],MATCH(Расходка[[#This Row],[№]],Поиск_расходки[Индекс12],0)),"")</f>
        <v>Pilot 150</v>
      </c>
      <c r="AD53" s="115" t="str">
        <f>IFERROR(INDEX(Расходка[Наименование расходного материала],MATCH(Расходка[[#This Row],[№]],Поиск_расходки[Индекс13],0)),"")</f>
        <v>Pilot 150</v>
      </c>
      <c r="AF53" s="4" t="s">
        <v>6</v>
      </c>
      <c r="AG53" s="4" t="s">
        <v>447</v>
      </c>
    </row>
    <row r="54" spans="1:33">
      <c r="A54">
        <f>ROW(Расходка[[#This Row],[Тип расходного материала ]])-1</f>
        <v>53</v>
      </c>
      <c r="B54" t="s">
        <v>6</v>
      </c>
      <c r="C54" s="1" t="s">
        <v>278</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0</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
      </c>
      <c r="AA54" s="115" t="str">
        <f>IFERROR(INDEX(Расходка[Наименование расходного материала],MATCH(Расходка[[#This Row],[№]],Поиск_расходки[Индекс10],0)),"")</f>
        <v>BMS, Integtity</v>
      </c>
      <c r="AB54" s="115" t="str">
        <f>IFERROR(INDEX(Расходка[Наименование расходного материала],MATCH(Расходка[[#This Row],[№]],Поиск_расходки[Индекс11],0)),"")</f>
        <v>BMS, Integtity</v>
      </c>
      <c r="AC54" s="115" t="str">
        <f>IFERROR(INDEX(Расходка[Наименование расходного материала],MATCH(Расходка[[#This Row],[№]],Поиск_расходки[Индекс12],0)),"")</f>
        <v>BMS, Integtity</v>
      </c>
      <c r="AD54" s="115" t="str">
        <f>IFERROR(INDEX(Расходка[Наименование расходного материала],MATCH(Расходка[[#This Row],[№]],Поиск_расходки[Индекс13],0)),"")</f>
        <v>BMS, Integtity</v>
      </c>
      <c r="AF54" s="4" t="s">
        <v>6</v>
      </c>
      <c r="AG54" s="4" t="s">
        <v>448</v>
      </c>
    </row>
    <row r="55" spans="1:33">
      <c r="A55">
        <f>ROW(Расходка[[#This Row],[Тип расходного материала ]])-1</f>
        <v>54</v>
      </c>
      <c r="B55" t="s">
        <v>6</v>
      </c>
      <c r="C55" s="157" t="s">
        <v>346</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0</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
      </c>
      <c r="AA55" s="115" t="str">
        <f>IFERROR(INDEX(Расходка[Наименование расходного материала],MATCH(Расходка[[#This Row],[№]],Поиск_расходки[Индекс10],0)),"")</f>
        <v>DES, Calipso</v>
      </c>
      <c r="AB55" s="115" t="str">
        <f>IFERROR(INDEX(Расходка[Наименование расходного материала],MATCH(Расходка[[#This Row],[№]],Поиск_расходки[Индекс11],0)),"")</f>
        <v>DES, Calipso</v>
      </c>
      <c r="AC55" s="115" t="str">
        <f>IFERROR(INDEX(Расходка[Наименование расходного материала],MATCH(Расходка[[#This Row],[№]],Поиск_расходки[Индекс12],0)),"")</f>
        <v>DES, Calipso</v>
      </c>
      <c r="AD55" s="115" t="str">
        <f>IFERROR(INDEX(Расходка[Наименование расходного материала],MATCH(Расходка[[#This Row],[№]],Поиск_расходки[Индекс13],0)),"")</f>
        <v>DES, Calipso</v>
      </c>
      <c r="AF55" s="4" t="s">
        <v>6</v>
      </c>
      <c r="AG55" s="4" t="s">
        <v>449</v>
      </c>
    </row>
    <row r="56" spans="1:33">
      <c r="A56">
        <f>ROW(Расходка[[#This Row],[Тип расходного материала ]])-1</f>
        <v>55</v>
      </c>
      <c r="B56" t="s">
        <v>6</v>
      </c>
      <c r="C56" s="157" t="s">
        <v>345</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0</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
      </c>
      <c r="AA56" s="115" t="str">
        <f>IFERROR(INDEX(Расходка[Наименование расходного материала],MATCH(Расходка[[#This Row],[№]],Поиск_расходки[Индекс10],0)),"")</f>
        <v>DES, NanoMed</v>
      </c>
      <c r="AB56" s="115" t="str">
        <f>IFERROR(INDEX(Расходка[Наименование расходного материала],MATCH(Расходка[[#This Row],[№]],Поиск_расходки[Индекс11],0)),"")</f>
        <v>DES, NanoMed</v>
      </c>
      <c r="AC56" s="115" t="str">
        <f>IFERROR(INDEX(Расходка[Наименование расходного материала],MATCH(Расходка[[#This Row],[№]],Поиск_расходки[Индекс12],0)),"")</f>
        <v>DES, NanoMed</v>
      </c>
      <c r="AD56" s="115" t="str">
        <f>IFERROR(INDEX(Расходка[Наименование расходного материала],MATCH(Расходка[[#This Row],[№]],Поиск_расходки[Индекс13],0)),"")</f>
        <v>DES, NanoMed</v>
      </c>
      <c r="AF56" s="4" t="s">
        <v>6</v>
      </c>
      <c r="AG56" s="4" t="s">
        <v>450</v>
      </c>
    </row>
    <row r="57" spans="1:33">
      <c r="A57">
        <f>ROW(Расходка[[#This Row],[Тип расходного материала ]])-1</f>
        <v>56</v>
      </c>
      <c r="B57" t="s">
        <v>6</v>
      </c>
      <c r="C57" s="130" t="s">
        <v>324</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1</v>
      </c>
      <c r="L57" s="116">
        <f>IF(ISNUMBER(SEARCH('Карта учёта'!$B$20,Расходка[[#This Row],[Наименование расходного материала]])),MAX($L$1:L56)+1,0)</f>
        <v>1</v>
      </c>
      <c r="M57" s="116">
        <f>IF(ISNUMBER(SEARCH('Карта учёта'!$B$21,Расходка[[#This Row],[Наименование расходного материала]])),MAX($M$1:M56)+1,0)</f>
        <v>1</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
      </c>
      <c r="AA57" s="115" t="str">
        <f>IFERROR(INDEX(Расходка[Наименование расходного материала],MATCH(Расходка[[#This Row],[№]],Поиск_расходки[Индекс10],0)),"")</f>
        <v>DES, Resolute Integtity</v>
      </c>
      <c r="AB57" s="115" t="str">
        <f>IFERROR(INDEX(Расходка[Наименование расходного материала],MATCH(Расходка[[#This Row],[№]],Поиск_расходки[Индекс11],0)),"")</f>
        <v>DES, Resolute Integtity</v>
      </c>
      <c r="AC57" s="115" t="str">
        <f>IFERROR(INDEX(Расходка[Наименование расходного материала],MATCH(Расходка[[#This Row],[№]],Поиск_расходки[Индекс12],0)),"")</f>
        <v>DES, Resolute Integtity</v>
      </c>
      <c r="AD57" s="115" t="str">
        <f>IFERROR(INDEX(Расходка[Наименование расходного материала],MATCH(Расходка[[#This Row],[№]],Поиск_расходки[Индекс13],0)),"")</f>
        <v>DES, Resolute Integtity</v>
      </c>
      <c r="AF57" s="4" t="s">
        <v>6</v>
      </c>
      <c r="AG57" s="4" t="s">
        <v>451</v>
      </c>
    </row>
    <row r="58" spans="1:33">
      <c r="A58">
        <f>ROW(Расходка[[#This Row],[Тип расходного материала ]])-1</f>
        <v>57</v>
      </c>
      <c r="B58" t="s">
        <v>6</v>
      </c>
      <c r="C58" t="s">
        <v>358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0</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
      </c>
      <c r="AA58" s="115" t="str">
        <f>IFERROR(INDEX(Расходка[Наименование расходного материала],MATCH(Расходка[[#This Row],[№]],Поиск_расходки[Индекс10],0)),"")</f>
        <v>DES, Yukon Chrome PC</v>
      </c>
      <c r="AB58" s="115" t="str">
        <f>IFERROR(INDEX(Расходка[Наименование расходного материала],MATCH(Расходка[[#This Row],[№]],Поиск_расходки[Индекс11],0)),"")</f>
        <v>DES, Yukon Chrome PC</v>
      </c>
      <c r="AC58" s="115" t="str">
        <f>IFERROR(INDEX(Расходка[Наименование расходного материала],MATCH(Расходка[[#This Row],[№]],Поиск_расходки[Индекс12],0)),"")</f>
        <v>DES, Yukon Chrome PC</v>
      </c>
      <c r="AD58" s="115" t="str">
        <f>IFERROR(INDEX(Расходка[Наименование расходного материала],MATCH(Расходка[[#This Row],[№]],Поиск_расходки[Индекс13],0)),"")</f>
        <v>DES, Yukon Chrome PC</v>
      </c>
      <c r="AF58" s="4" t="s">
        <v>6</v>
      </c>
      <c r="AG58" s="4" t="s">
        <v>452</v>
      </c>
    </row>
    <row r="59" spans="1:33">
      <c r="A59">
        <f>ROW(Расходка[[#This Row],[Тип расходного материала ]])-1</f>
        <v>58</v>
      </c>
      <c r="B59" t="s">
        <v>6</v>
      </c>
      <c r="C59" s="161" t="s">
        <v>386</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0</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
      </c>
      <c r="AA59" s="115" t="str">
        <f>IFERROR(INDEX(Расходка[Наименование расходного материала],MATCH(Расходка[[#This Row],[№]],Поиск_расходки[Индекс10],0)),"")</f>
        <v>DES, Firehawk</v>
      </c>
      <c r="AB59" s="115" t="str">
        <f>IFERROR(INDEX(Расходка[Наименование расходного материала],MATCH(Расходка[[#This Row],[№]],Поиск_расходки[Индекс11],0)),"")</f>
        <v>DES, Firehawk</v>
      </c>
      <c r="AC59" s="115" t="str">
        <f>IFERROR(INDEX(Расходка[Наименование расходного материала],MATCH(Расходка[[#This Row],[№]],Поиск_расходки[Индекс12],0)),"")</f>
        <v>DES, Firehawk</v>
      </c>
      <c r="AD59" s="115" t="str">
        <f>IFERROR(INDEX(Расходка[Наименование расходного материала],MATCH(Расходка[[#This Row],[№]],Поиск_расходки[Индекс13],0)),"")</f>
        <v>DES, Firehawk</v>
      </c>
      <c r="AF59" s="4" t="s">
        <v>6</v>
      </c>
      <c r="AG59" s="4" t="s">
        <v>453</v>
      </c>
    </row>
    <row r="60" spans="1:33">
      <c r="A60">
        <f>ROW(Расходка[[#This Row],[Тип расходного материала ]])-1</f>
        <v>59</v>
      </c>
      <c r="B60" t="s">
        <v>6</v>
      </c>
      <c r="C60" t="s">
        <v>385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0</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
      </c>
      <c r="AA60" s="115" t="str">
        <f>IFERROR(INDEX(Расходка[Наименование расходного материала],MATCH(Расходка[[#This Row],[№]],Поиск_расходки[Индекс10],0)),"")</f>
        <v>DES, Resolute Onyx</v>
      </c>
      <c r="AB60" s="115" t="str">
        <f>IFERROR(INDEX(Расходка[Наименование расходного материала],MATCH(Расходка[[#This Row],[№]],Поиск_расходки[Индекс11],0)),"")</f>
        <v>DES, Resolute Onyx</v>
      </c>
      <c r="AC60" s="115" t="str">
        <f>IFERROR(INDEX(Расходка[Наименование расходного материала],MATCH(Расходка[[#This Row],[№]],Поиск_расходки[Индекс12],0)),"")</f>
        <v>DES, Resolute Onyx</v>
      </c>
      <c r="AD60" s="115" t="str">
        <f>IFERROR(INDEX(Расходка[Наименование расходного материала],MATCH(Расходка[[#This Row],[№]],Поиск_расходки[Индекс13],0)),"")</f>
        <v>DES, Resolute Onyx</v>
      </c>
      <c r="AF60" s="4" t="s">
        <v>6</v>
      </c>
      <c r="AG60" s="4" t="s">
        <v>454</v>
      </c>
    </row>
    <row r="61" spans="1:33">
      <c r="A61">
        <f>ROW(Расходка[[#This Row],[Тип расходного материала ]])-1</f>
        <v>60</v>
      </c>
      <c r="B61" t="s">
        <v>6</v>
      </c>
      <c r="C61" t="s">
        <v>518</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
      </c>
      <c r="AA61" s="115" t="str">
        <f>IFERROR(INDEX(Расходка[Наименование расходного материала],MATCH(Расходка[[#This Row],[№]],Поиск_расходки[Индекс10],0)),"")</f>
        <v>DES, Калипсо</v>
      </c>
      <c r="AB61" s="115" t="str">
        <f>IFERROR(INDEX(Расходка[Наименование расходного материала],MATCH(Расходка[[#This Row],[№]],Поиск_расходки[Индекс11],0)),"")</f>
        <v>DES, Калипсо</v>
      </c>
      <c r="AC61" s="115" t="str">
        <f>IFERROR(INDEX(Расходка[Наименование расходного материала],MATCH(Расходка[[#This Row],[№]],Поиск_расходки[Индекс12],0)),"")</f>
        <v>DES, Калипсо</v>
      </c>
      <c r="AD61" s="115" t="str">
        <f>IFERROR(INDEX(Расходка[Наименование расходного материала],MATCH(Расходка[[#This Row],[№]],Поиск_расходки[Индекс13],0)),"")</f>
        <v>DES, Калипсо</v>
      </c>
      <c r="AF61" s="4" t="s">
        <v>6</v>
      </c>
      <c r="AG61" s="4" t="s">
        <v>415</v>
      </c>
    </row>
    <row r="62" spans="1:33">
      <c r="A62">
        <f>ROW(Расходка[[#This Row],[Тип расходного материала ]])-1</f>
        <v>61</v>
      </c>
      <c r="B62" t="s">
        <v>6</v>
      </c>
      <c r="C62" t="s">
        <v>519</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0</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
      </c>
      <c r="AA62" s="115" t="str">
        <f>IFERROR(INDEX(Расходка[Наименование расходного материала],MATCH(Расходка[[#This Row],[№]],Поиск_расходки[Индекс10],0)),"")</f>
        <v>Meril Evermine50™</v>
      </c>
      <c r="AB62" s="115" t="str">
        <f>IFERROR(INDEX(Расходка[Наименование расходного материала],MATCH(Расходка[[#This Row],[№]],Поиск_расходки[Индекс11],0)),"")</f>
        <v>Meril Evermine50™</v>
      </c>
      <c r="AC62" s="115" t="str">
        <f>IFERROR(INDEX(Расходка[Наименование расходного материала],MATCH(Расходка[[#This Row],[№]],Поиск_расходки[Индекс12],0)),"")</f>
        <v>Meril Evermine50™</v>
      </c>
      <c r="AD62" s="115" t="str">
        <f>IFERROR(INDEX(Расходка[Наименование расходного материала],MATCH(Расходка[[#This Row],[№]],Поиск_расходки[Индекс13],0)),"")</f>
        <v>Meril Evermine50™</v>
      </c>
      <c r="AF62" s="4" t="s">
        <v>6</v>
      </c>
      <c r="AG62" s="4" t="s">
        <v>455</v>
      </c>
    </row>
    <row r="63" spans="1:33">
      <c r="A63">
        <f>ROW(Расходка[[#This Row],[Тип расходного материала ]])-1</f>
        <v>62</v>
      </c>
      <c r="B63" t="s">
        <v>95</v>
      </c>
      <c r="C63" s="1" t="s">
        <v>325</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0</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
      </c>
      <c r="AA63" s="115" t="str">
        <f>IFERROR(INDEX(Расходка[Наименование расходного материала],MATCH(Расходка[[#This Row],[№]],Поиск_расходки[Индекс10],0)),"")</f>
        <v>Guidezilla™ II 6F</v>
      </c>
      <c r="AB63" s="115" t="str">
        <f>IFERROR(INDEX(Расходка[Наименование расходного материала],MATCH(Расходка[[#This Row],[№]],Поиск_расходки[Индекс11],0)),"")</f>
        <v>Guidezilla™ II 6F</v>
      </c>
      <c r="AC63" s="115" t="str">
        <f>IFERROR(INDEX(Расходка[Наименование расходного материала],MATCH(Расходка[[#This Row],[№]],Поиск_расходки[Индекс12],0)),"")</f>
        <v>Guidezilla™ II 6F</v>
      </c>
      <c r="AD63" s="115" t="str">
        <f>IFERROR(INDEX(Расходка[Наименование расходного материала],MATCH(Расходка[[#This Row],[№]],Поиск_расходки[Индекс13],0)),"")</f>
        <v>Guidezilla™ II 6F</v>
      </c>
      <c r="AF63" s="4" t="s">
        <v>6</v>
      </c>
      <c r="AG63" s="4" t="s">
        <v>456</v>
      </c>
    </row>
    <row r="64" spans="1:33">
      <c r="A64">
        <f>ROW(Расходка[[#This Row],[Тип расходного материала ]])-1</f>
        <v>63</v>
      </c>
      <c r="B64" t="s">
        <v>95</v>
      </c>
      <c r="C64" s="1" t="s">
        <v>344</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0</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
      </c>
      <c r="AA64" s="115" t="str">
        <f>IFERROR(INDEX(Расходка[Наименование расходного материала],MATCH(Расходка[[#This Row],[№]],Поиск_расходки[Индекс10],0)),"")</f>
        <v>Telescope ™ II 6F</v>
      </c>
      <c r="AB64" s="115" t="str">
        <f>IFERROR(INDEX(Расходка[Наименование расходного материала],MATCH(Расходка[[#This Row],[№]],Поиск_расходки[Индекс11],0)),"")</f>
        <v>Telescope ™ II 6F</v>
      </c>
      <c r="AC64" s="115" t="str">
        <f>IFERROR(INDEX(Расходка[Наименование расходного материала],MATCH(Расходка[[#This Row],[№]],Поиск_расходки[Индекс12],0)),"")</f>
        <v>Telescope ™ II 6F</v>
      </c>
      <c r="AD64" s="115" t="str">
        <f>IFERROR(INDEX(Расходка[Наименование расходного материала],MATCH(Расходка[[#This Row],[№]],Поиск_расходки[Индекс13],0)),"")</f>
        <v>Telescope ™ II 6F</v>
      </c>
      <c r="AF64" s="4" t="s">
        <v>6</v>
      </c>
      <c r="AG64" s="4" t="s">
        <v>457</v>
      </c>
    </row>
    <row r="65" spans="1:33">
      <c r="A65">
        <f>ROW(Расходка[[#This Row],[Тип расходного материала ]])-1</f>
        <v>64</v>
      </c>
      <c r="B65" t="s">
        <v>4</v>
      </c>
      <c r="C65" t="s">
        <v>351</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0</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
      </c>
      <c r="AA65" s="115" t="str">
        <f>IFERROR(INDEX(Расходка[Наименование расходного материала],MATCH(Расходка[[#This Row],[№]],Поиск_расходки[Индекс10],0)),"")</f>
        <v>Launcher 6F AL 1</v>
      </c>
      <c r="AB65" s="115" t="str">
        <f>IFERROR(INDEX(Расходка[Наименование расходного материала],MATCH(Расходка[[#This Row],[№]],Поиск_расходки[Индекс11],0)),"")</f>
        <v>Launcher 6F AL 1</v>
      </c>
      <c r="AC65" s="115" t="str">
        <f>IFERROR(INDEX(Расходка[Наименование расходного материала],MATCH(Расходка[[#This Row],[№]],Поиск_расходки[Индекс12],0)),"")</f>
        <v>Launcher 6F AL 1</v>
      </c>
      <c r="AD65" s="115" t="str">
        <f>IFERROR(INDEX(Расходка[Наименование расходного материала],MATCH(Расходка[[#This Row],[№]],Поиск_расходки[Индекс13],0)),"")</f>
        <v>Launcher 6F AL 1</v>
      </c>
      <c r="AF65" s="4" t="s">
        <v>6</v>
      </c>
      <c r="AG65" s="4" t="s">
        <v>458</v>
      </c>
    </row>
    <row r="66" spans="1:33">
      <c r="A66">
        <f>ROW(Расходка[[#This Row],[Тип расходного материала ]])-1</f>
        <v>65</v>
      </c>
      <c r="B66" t="s">
        <v>4</v>
      </c>
      <c r="C66" t="s">
        <v>352</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Launcher 6F AL 2</v>
      </c>
      <c r="AB66" s="115" t="str">
        <f>IFERROR(INDEX(Расходка[Наименование расходного материала],MATCH(Расходка[[#This Row],[№]],Поиск_расходки[Индекс11],0)),"")</f>
        <v>Launcher 6F AL 2</v>
      </c>
      <c r="AC66" s="115" t="str">
        <f>IFERROR(INDEX(Расходка[Наименование расходного материала],MATCH(Расходка[[#This Row],[№]],Поиск_расходки[Индекс12],0)),"")</f>
        <v>Launcher 6F AL 2</v>
      </c>
      <c r="AD66" s="115" t="str">
        <f>IFERROR(INDEX(Расходка[Наименование расходного материала],MATCH(Расходка[[#This Row],[№]],Поиск_расходки[Индекс13],0)),"")</f>
        <v>Launcher 6F AL 2</v>
      </c>
      <c r="AF66" s="4" t="s">
        <v>6</v>
      </c>
      <c r="AG66" s="4" t="s">
        <v>459</v>
      </c>
    </row>
    <row r="67" spans="1:33">
      <c r="A67">
        <f>ROW(Расходка[[#This Row],[Тип расходного материала ]])-1</f>
        <v>66</v>
      </c>
      <c r="B67" t="s">
        <v>4</v>
      </c>
      <c r="C67" t="s">
        <v>326</v>
      </c>
      <c r="E67" s="197">
        <f>IF(ISNUMBER(SEARCH('Карта учёта'!$B$13,Расходка[[#This Row],[Наименование расходного материала]])),MAX($E$1:E66)+1,0)</f>
        <v>0</v>
      </c>
      <c r="F67" s="197">
        <f>IF(ISNUMBER(SEARCH('Карта учёта'!$B$14,Расходка[[#This Row],[Наименование расходного материала]])),MAX($F$1:F66)+1,0)</f>
        <v>1</v>
      </c>
      <c r="G67" s="197">
        <f>IF(ISNUMBER(SEARCH('Карта учёта'!$B$15,Расходка[[#This Row],[Наименование расходного материала]])),MAX($G$1:G66)+1,0)</f>
        <v>0</v>
      </c>
      <c r="H67" s="197">
        <f>IF(ISNUMBER(SEARCH('Карта учёта'!$B$16,Расходка[[#This Row],[Наименование расходного материала]])),MAX($H$1:H66)+1,0)</f>
        <v>0</v>
      </c>
      <c r="I67" s="197">
        <f>IF(ISNUMBER(SEARCH('Карта учёта'!$B$17,Расходка[[#This Row],[Наименование расходного материала]])),MAX($I$1:I66)+1,0)</f>
        <v>0</v>
      </c>
      <c r="J67" s="197">
        <f>IF(ISNUMBER(SEARCH('Карта учёта'!$B$18,Расходка[[#This Row],[Наименование расходного материала]])),MAX($J$1:J66)+1,0)</f>
        <v>0</v>
      </c>
      <c r="K67" s="197">
        <f>IF(ISNUMBER(SEARCH('Карта учёта'!$B$19,Расходка[[#This Row],[Наименование расходного материала]])),MAX($K$1:K66)+1,0)</f>
        <v>0</v>
      </c>
      <c r="L67" s="197">
        <f>IF(ISNUMBER(SEARCH('Карта учёта'!$B$20,Расходка[[#This Row],[Наименование расходного материала]])),MAX($L$1:L66)+1,0)</f>
        <v>0</v>
      </c>
      <c r="M67" s="197">
        <f>IF(ISNUMBER(SEARCH('Карта учёта'!$B$21,Расходка[[#This Row],[Наименование расходного материала]])),MAX($M$1:M66)+1,0)</f>
        <v>0</v>
      </c>
      <c r="N67" s="197">
        <f>IF(ISNUMBER(SEARCH('Карта учёта'!$B$22,Расходка[[#This Row],[Наименование расходного материала]])),MAX($N$1:N66)+1,0)</f>
        <v>66</v>
      </c>
      <c r="O67" s="197">
        <f>IF(ISNUMBER(SEARCH('Карта учёта'!$B$23,Расходка[[#This Row],[Наименование расходного материала]])),MAX($O$1:O66)+1,0)</f>
        <v>66</v>
      </c>
      <c r="P67" s="197">
        <f>IF(ISNUMBER(SEARCH('Карта учёта'!$B$24,Расходка[[#This Row],[Наименование расходного материала]])),MAX($P$1:P66)+1,0)</f>
        <v>66</v>
      </c>
      <c r="Q67" s="197">
        <f>IF(ISNUMBER(SEARCH('Карта учёта'!$B$25,Расходка[[#This Row],[Наименование расходного материала]])),MAX($Q$1:Q66)+1,0)</f>
        <v>66</v>
      </c>
      <c r="R67" s="198" t="str">
        <f>IFERROR(INDEX(Расходка[Наименование расходного материала],MATCH(Расходка[[#This Row],[№]],Поиск_расходки[Индекс1],0)),"")</f>
        <v/>
      </c>
      <c r="S67" s="198" t="str">
        <f>IFERROR(INDEX(Расходка[Наименование расходного материала],MATCH(Расходка[[#This Row],[№]],Поиск_расходки[Индекс2],0)),"")</f>
        <v/>
      </c>
      <c r="T67" s="198" t="str">
        <f>IFERROR(INDEX(Расходка[Наименование расходного материала],MATCH(Расходка[[#This Row],[№]],Поиск_расходки[Индекс3],0)),"")</f>
        <v/>
      </c>
      <c r="U67" s="198" t="str">
        <f>IFERROR(INDEX(Расходка[Наименование расходного материала],MATCH(Расходка[[#This Row],[№]],Поиск_расходки[Индекс4],0)),"")</f>
        <v/>
      </c>
      <c r="V67" s="198" t="str">
        <f>IFERROR(INDEX(Расходка[Наименование расходного материала],MATCH(Расходка[[#This Row],[№]],Поиск_расходки[Индекс5],0)),"")</f>
        <v/>
      </c>
      <c r="W67" s="198" t="str">
        <f>IFERROR(INDEX(Расходка[Наименование расходного материала],MATCH(Расходка[[#This Row],[№]],Поиск_расходки[Индекс6],0)),"")</f>
        <v/>
      </c>
      <c r="X67" s="198" t="str">
        <f>IFERROR(INDEX(Расходка[Наименование расходного материала],MATCH(Расходка[[#This Row],[№]],Поиск_расходки[Индекс7],0)),"")</f>
        <v/>
      </c>
      <c r="Y67" s="198" t="str">
        <f>IFERROR(INDEX(Расходка[Наименование расходного материала],MATCH(Расходка[[#This Row],[№]],Поиск_расходки[Индекс8],0)),"")</f>
        <v/>
      </c>
      <c r="Z67" s="198" t="str">
        <f>IFERROR(INDEX(Расходка[Наименование расходного материала],MATCH(Расходка[[#This Row],[№]],Поиск_расходки[Индекс9],0)),"")</f>
        <v/>
      </c>
      <c r="AA67" s="198" t="str">
        <f>IFERROR(INDEX(Расходка[Наименование расходного материала],MATCH(Расходка[[#This Row],[№]],Поиск_расходки[Индекс10],0)),"")</f>
        <v>Launcher 6F EBU 3.5</v>
      </c>
      <c r="AB67" s="198" t="str">
        <f>IFERROR(INDEX(Расходка[Наименование расходного материала],MATCH(Расходка[[#This Row],[№]],Поиск_расходки[Индекс11],0)),"")</f>
        <v>Launcher 6F EBU 3.5</v>
      </c>
      <c r="AC67" s="198" t="str">
        <f>IFERROR(INDEX(Расходка[Наименование расходного материала],MATCH(Расходка[[#This Row],[№]],Поиск_расходки[Индекс12],0)),"")</f>
        <v>Launcher 6F EBU 3.5</v>
      </c>
      <c r="AD67" s="198" t="str">
        <f>IFERROR(INDEX(Расходка[Наименование расходного материала],MATCH(Расходка[[#This Row],[№]],Поиск_расходки[Индекс13],0)),"")</f>
        <v>Launcher 6F EBU 3.5</v>
      </c>
      <c r="AF67" s="4" t="s">
        <v>6</v>
      </c>
      <c r="AG67" s="4" t="s">
        <v>460</v>
      </c>
    </row>
    <row r="68" spans="1:33">
      <c r="A68">
        <f>ROW(Расходка[[#This Row],[Тип расходного материала ]])-1</f>
        <v>67</v>
      </c>
      <c r="B68" t="s">
        <v>4</v>
      </c>
      <c r="C68" t="s">
        <v>327</v>
      </c>
      <c r="E68" s="197">
        <f>IF(ISNUMBER(SEARCH('Карта учёта'!$B$13,Расходка[[#This Row],[Наименование расходного материала]])),MAX($E$1:E67)+1,0)</f>
        <v>0</v>
      </c>
      <c r="F68" s="197">
        <f>IF(ISNUMBER(SEARCH('Карта учёта'!$B$14,Расходка[[#This Row],[Наименование расходного материала]])),MAX($F$1:F67)+1,0)</f>
        <v>0</v>
      </c>
      <c r="G68" s="197">
        <f>IF(ISNUMBER(SEARCH('Карта учёта'!$B$15,Расходка[[#This Row],[Наименование расходного материала]])),MAX($G$1:G67)+1,0)</f>
        <v>0</v>
      </c>
      <c r="H68" s="197">
        <f>IF(ISNUMBER(SEARCH('Карта учёта'!$B$16,Расходка[[#This Row],[Наименование расходного материала]])),MAX($H$1:H67)+1,0)</f>
        <v>0</v>
      </c>
      <c r="I68" s="197">
        <f>IF(ISNUMBER(SEARCH('Карта учёта'!$B$17,Расходка[[#This Row],[Наименование расходного материала]])),MAX($I$1:I67)+1,0)</f>
        <v>0</v>
      </c>
      <c r="J68" s="197">
        <f>IF(ISNUMBER(SEARCH('Карта учёта'!$B$18,Расходка[[#This Row],[Наименование расходного материала]])),MAX($J$1:J67)+1,0)</f>
        <v>0</v>
      </c>
      <c r="K68" s="197">
        <f>IF(ISNUMBER(SEARCH('Карта учёта'!$B$19,Расходка[[#This Row],[Наименование расходного материала]])),MAX($K$1:K67)+1,0)</f>
        <v>0</v>
      </c>
      <c r="L68" s="197">
        <f>IF(ISNUMBER(SEARCH('Карта учёта'!$B$20,Расходка[[#This Row],[Наименование расходного материала]])),MAX($L$1:L67)+1,0)</f>
        <v>0</v>
      </c>
      <c r="M68" s="197">
        <f>IF(ISNUMBER(SEARCH('Карта учёта'!$B$21,Расходка[[#This Row],[Наименование расходного материала]])),MAX($M$1:M67)+1,0)</f>
        <v>0</v>
      </c>
      <c r="N68" s="197">
        <f>IF(ISNUMBER(SEARCH('Карта учёта'!$B$22,Расходка[[#This Row],[Наименование расходного материала]])),MAX($N$1:N67)+1,0)</f>
        <v>67</v>
      </c>
      <c r="O68" s="197">
        <f>IF(ISNUMBER(SEARCH('Карта учёта'!$B$23,Расходка[[#This Row],[Наименование расходного материала]])),MAX($O$1:O67)+1,0)</f>
        <v>67</v>
      </c>
      <c r="P68" s="197">
        <f>IF(ISNUMBER(SEARCH('Карта учёта'!$B$24,Расходка[[#This Row],[Наименование расходного материала]])),MAX($P$1:P67)+1,0)</f>
        <v>67</v>
      </c>
      <c r="Q68" s="197">
        <f>IF(ISNUMBER(SEARCH('Карта учёта'!$B$25,Расходка[[#This Row],[Наименование расходного материала]])),MAX($Q$1:Q67)+1,0)</f>
        <v>67</v>
      </c>
      <c r="R68" s="198" t="str">
        <f>IFERROR(INDEX(Расходка[Наименование расходного материала],MATCH(Расходка[[#This Row],[№]],Поиск_расходки[Индекс1],0)),"")</f>
        <v/>
      </c>
      <c r="S68" s="198" t="str">
        <f>IFERROR(INDEX(Расходка[Наименование расходного материала],MATCH(Расходка[[#This Row],[№]],Поиск_расходки[Индекс2],0)),"")</f>
        <v/>
      </c>
      <c r="T68" s="198" t="str">
        <f>IFERROR(INDEX(Расходка[Наименование расходного материала],MATCH(Расходка[[#This Row],[№]],Поиск_расходки[Индекс3],0)),"")</f>
        <v/>
      </c>
      <c r="U68" s="198" t="str">
        <f>IFERROR(INDEX(Расходка[Наименование расходного материала],MATCH(Расходка[[#This Row],[№]],Поиск_расходки[Индекс4],0)),"")</f>
        <v/>
      </c>
      <c r="V68" s="198" t="str">
        <f>IFERROR(INDEX(Расходка[Наименование расходного материала],MATCH(Расходка[[#This Row],[№]],Поиск_расходки[Индекс5],0)),"")</f>
        <v/>
      </c>
      <c r="W68" s="198" t="str">
        <f>IFERROR(INDEX(Расходка[Наименование расходного материала],MATCH(Расходка[[#This Row],[№]],Поиск_расходки[Индекс6],0)),"")</f>
        <v/>
      </c>
      <c r="X68" s="198" t="str">
        <f>IFERROR(INDEX(Расходка[Наименование расходного материала],MATCH(Расходка[[#This Row],[№]],Поиск_расходки[Индекс7],0)),"")</f>
        <v/>
      </c>
      <c r="Y68" s="198" t="str">
        <f>IFERROR(INDEX(Расходка[Наименование расходного материала],MATCH(Расходка[[#This Row],[№]],Поиск_расходки[Индекс8],0)),"")</f>
        <v/>
      </c>
      <c r="Z68" s="198" t="str">
        <f>IFERROR(INDEX(Расходка[Наименование расходного материала],MATCH(Расходка[[#This Row],[№]],Поиск_расходки[Индекс9],0)),"")</f>
        <v/>
      </c>
      <c r="AA68" s="198" t="str">
        <f>IFERROR(INDEX(Расходка[Наименование расходного материала],MATCH(Расходка[[#This Row],[№]],Поиск_расходки[Индекс10],0)),"")</f>
        <v>Launcher 6F EBU 4.0</v>
      </c>
      <c r="AB68" s="198" t="str">
        <f>IFERROR(INDEX(Расходка[Наименование расходного материала],MATCH(Расходка[[#This Row],[№]],Поиск_расходки[Индекс11],0)),"")</f>
        <v>Launcher 6F EBU 4.0</v>
      </c>
      <c r="AC68" s="198" t="str">
        <f>IFERROR(INDEX(Расходка[Наименование расходного материала],MATCH(Расходка[[#This Row],[№]],Поиск_расходки[Индекс12],0)),"")</f>
        <v>Launcher 6F EBU 4.0</v>
      </c>
      <c r="AD68" s="198" t="str">
        <f>IFERROR(INDEX(Расходка[Наименование расходного материала],MATCH(Расходка[[#This Row],[№]],Поиск_расходки[Индекс13],0)),"")</f>
        <v>Launcher 6F EBU 4.0</v>
      </c>
      <c r="AF68" s="4" t="s">
        <v>6</v>
      </c>
      <c r="AG68" s="4" t="s">
        <v>461</v>
      </c>
    </row>
    <row r="69" spans="1:33">
      <c r="A69">
        <f>ROW(Расходка[[#This Row],[Тип расходного материала ]])-1</f>
        <v>68</v>
      </c>
      <c r="B69" t="s">
        <v>4</v>
      </c>
      <c r="C69" t="s">
        <v>328</v>
      </c>
      <c r="E69" s="197">
        <f>IF(ISNUMBER(SEARCH('Карта учёта'!$B$13,Расходка[[#This Row],[Наименование расходного материала]])),MAX($E$1:E68)+1,0)</f>
        <v>0</v>
      </c>
      <c r="F69" s="197">
        <f>IF(ISNUMBER(SEARCH('Карта учёта'!$B$14,Расходка[[#This Row],[Наименование расходного материала]])),MAX($F$1:F68)+1,0)</f>
        <v>0</v>
      </c>
      <c r="G69" s="197">
        <f>IF(ISNUMBER(SEARCH('Карта учёта'!$B$15,Расходка[[#This Row],[Наименование расходного материала]])),MAX($G$1:G68)+1,0)</f>
        <v>0</v>
      </c>
      <c r="H69" s="197">
        <f>IF(ISNUMBER(SEARCH('Карта учёта'!$B$16,Расходка[[#This Row],[Наименование расходного материала]])),MAX($H$1:H68)+1,0)</f>
        <v>0</v>
      </c>
      <c r="I69" s="197">
        <f>IF(ISNUMBER(SEARCH('Карта учёта'!$B$17,Расходка[[#This Row],[Наименование расходного материала]])),MAX($I$1:I68)+1,0)</f>
        <v>0</v>
      </c>
      <c r="J69" s="197">
        <f>IF(ISNUMBER(SEARCH('Карта учёта'!$B$18,Расходка[[#This Row],[Наименование расходного материала]])),MAX($J$1:J68)+1,0)</f>
        <v>0</v>
      </c>
      <c r="K69" s="197">
        <f>IF(ISNUMBER(SEARCH('Карта учёта'!$B$19,Расходка[[#This Row],[Наименование расходного материала]])),MAX($K$1:K68)+1,0)</f>
        <v>0</v>
      </c>
      <c r="L69" s="197">
        <f>IF(ISNUMBER(SEARCH('Карта учёта'!$B$20,Расходка[[#This Row],[Наименование расходного материала]])),MAX($L$1:L68)+1,0)</f>
        <v>0</v>
      </c>
      <c r="M69" s="197">
        <f>IF(ISNUMBER(SEARCH('Карта учёта'!$B$21,Расходка[[#This Row],[Наименование расходного материала]])),MAX($M$1:M68)+1,0)</f>
        <v>0</v>
      </c>
      <c r="N69" s="197">
        <f>IF(ISNUMBER(SEARCH('Карта учёта'!$B$22,Расходка[[#This Row],[Наименование расходного материала]])),MAX($N$1:N68)+1,0)</f>
        <v>68</v>
      </c>
      <c r="O69" s="197">
        <f>IF(ISNUMBER(SEARCH('Карта учёта'!$B$23,Расходка[[#This Row],[Наименование расходного материала]])),MAX($O$1:O68)+1,0)</f>
        <v>68</v>
      </c>
      <c r="P69" s="197">
        <f>IF(ISNUMBER(SEARCH('Карта учёта'!$B$24,Расходка[[#This Row],[Наименование расходного материала]])),MAX($P$1:P68)+1,0)</f>
        <v>68</v>
      </c>
      <c r="Q69" s="197">
        <f>IF(ISNUMBER(SEARCH('Карта учёта'!$B$25,Расходка[[#This Row],[Наименование расходного материала]])),MAX($Q$1:Q68)+1,0)</f>
        <v>68</v>
      </c>
      <c r="R69" s="198" t="str">
        <f>IFERROR(INDEX(Расходка[Наименование расходного материала],MATCH(Расходка[[#This Row],[№]],Поиск_расходки[Индекс1],0)),"")</f>
        <v/>
      </c>
      <c r="S69" s="198" t="str">
        <f>IFERROR(INDEX(Расходка[Наименование расходного материала],MATCH(Расходка[[#This Row],[№]],Поиск_расходки[Индекс2],0)),"")</f>
        <v/>
      </c>
      <c r="T69" s="198" t="str">
        <f>IFERROR(INDEX(Расходка[Наименование расходного материала],MATCH(Расходка[[#This Row],[№]],Поиск_расходки[Индекс3],0)),"")</f>
        <v/>
      </c>
      <c r="U69" s="198" t="str">
        <f>IFERROR(INDEX(Расходка[Наименование расходного материала],MATCH(Расходка[[#This Row],[№]],Поиск_расходки[Индекс4],0)),"")</f>
        <v/>
      </c>
      <c r="V69" s="198" t="str">
        <f>IFERROR(INDEX(Расходка[Наименование расходного материала],MATCH(Расходка[[#This Row],[№]],Поиск_расходки[Индекс5],0)),"")</f>
        <v/>
      </c>
      <c r="W69" s="198" t="str">
        <f>IFERROR(INDEX(Расходка[Наименование расходного материала],MATCH(Расходка[[#This Row],[№]],Поиск_расходки[Индекс6],0)),"")</f>
        <v/>
      </c>
      <c r="X69" s="198" t="str">
        <f>IFERROR(INDEX(Расходка[Наименование расходного материала],MATCH(Расходка[[#This Row],[№]],Поиск_расходки[Индекс7],0)),"")</f>
        <v/>
      </c>
      <c r="Y69" s="198" t="str">
        <f>IFERROR(INDEX(Расходка[Наименование расходного материала],MATCH(Расходка[[#This Row],[№]],Поиск_расходки[Индекс8],0)),"")</f>
        <v/>
      </c>
      <c r="Z69" s="198" t="str">
        <f>IFERROR(INDEX(Расходка[Наименование расходного материала],MATCH(Расходка[[#This Row],[№]],Поиск_расходки[Индекс9],0)),"")</f>
        <v/>
      </c>
      <c r="AA69" s="198" t="str">
        <f>IFERROR(INDEX(Расходка[Наименование расходного материала],MATCH(Расходка[[#This Row],[№]],Поиск_расходки[Индекс10],0)),"")</f>
        <v>Launcher 6F JL 3.5</v>
      </c>
      <c r="AB69" s="198" t="str">
        <f>IFERROR(INDEX(Расходка[Наименование расходного материала],MATCH(Расходка[[#This Row],[№]],Поиск_расходки[Индекс11],0)),"")</f>
        <v>Launcher 6F JL 3.5</v>
      </c>
      <c r="AC69" s="198" t="str">
        <f>IFERROR(INDEX(Расходка[Наименование расходного материала],MATCH(Расходка[[#This Row],[№]],Поиск_расходки[Индекс12],0)),"")</f>
        <v>Launcher 6F JL 3.5</v>
      </c>
      <c r="AD69" s="198" t="str">
        <f>IFERROR(INDEX(Расходка[Наименование расходного материала],MATCH(Расходка[[#This Row],[№]],Поиск_расходки[Индекс13],0)),"")</f>
        <v>Launcher 6F JL 3.5</v>
      </c>
      <c r="AF69" s="4" t="s">
        <v>6</v>
      </c>
      <c r="AG69" s="4" t="s">
        <v>462</v>
      </c>
    </row>
    <row r="70" spans="1:33">
      <c r="A70">
        <f>ROW(Расходка[[#This Row],[Тип расходного материала ]])-1</f>
        <v>69</v>
      </c>
      <c r="B70" t="s">
        <v>4</v>
      </c>
      <c r="C70" t="s">
        <v>329</v>
      </c>
      <c r="E70" s="197">
        <f>IF(ISNUMBER(SEARCH('Карта учёта'!$B$13,Расходка[[#This Row],[Наименование расходного материала]])),MAX($E$1:E69)+1,0)</f>
        <v>0</v>
      </c>
      <c r="F70" s="197">
        <f>IF(ISNUMBER(SEARCH('Карта учёта'!$B$14,Расходка[[#This Row],[Наименование расходного материала]])),MAX($F$1:F69)+1,0)</f>
        <v>0</v>
      </c>
      <c r="G70" s="197">
        <f>IF(ISNUMBER(SEARCH('Карта учёта'!$B$15,Расходка[[#This Row],[Наименование расходного материала]])),MAX($G$1:G69)+1,0)</f>
        <v>0</v>
      </c>
      <c r="H70" s="197">
        <f>IF(ISNUMBER(SEARCH('Карта учёта'!$B$16,Расходка[[#This Row],[Наименование расходного материала]])),MAX($H$1:H69)+1,0)</f>
        <v>0</v>
      </c>
      <c r="I70" s="197">
        <f>IF(ISNUMBER(SEARCH('Карта учёта'!$B$17,Расходка[[#This Row],[Наименование расходного материала]])),MAX($I$1:I69)+1,0)</f>
        <v>0</v>
      </c>
      <c r="J70" s="197">
        <f>IF(ISNUMBER(SEARCH('Карта учёта'!$B$18,Расходка[[#This Row],[Наименование расходного материала]])),MAX($J$1:J69)+1,0)</f>
        <v>0</v>
      </c>
      <c r="K70" s="197">
        <f>IF(ISNUMBER(SEARCH('Карта учёта'!$B$19,Расходка[[#This Row],[Наименование расходного материала]])),MAX($K$1:K69)+1,0)</f>
        <v>0</v>
      </c>
      <c r="L70" s="197">
        <f>IF(ISNUMBER(SEARCH('Карта учёта'!$B$20,Расходка[[#This Row],[Наименование расходного материала]])),MAX($L$1:L69)+1,0)</f>
        <v>0</v>
      </c>
      <c r="M70" s="197">
        <f>IF(ISNUMBER(SEARCH('Карта учёта'!$B$21,Расходка[[#This Row],[Наименование расходного материала]])),MAX($M$1:M69)+1,0)</f>
        <v>0</v>
      </c>
      <c r="N70" s="197">
        <f>IF(ISNUMBER(SEARCH('Карта учёта'!$B$22,Расходка[[#This Row],[Наименование расходного материала]])),MAX($N$1:N69)+1,0)</f>
        <v>69</v>
      </c>
      <c r="O70" s="197">
        <f>IF(ISNUMBER(SEARCH('Карта учёта'!$B$23,Расходка[[#This Row],[Наименование расходного материала]])),MAX($O$1:O69)+1,0)</f>
        <v>69</v>
      </c>
      <c r="P70" s="197">
        <f>IF(ISNUMBER(SEARCH('Карта учёта'!$B$24,Расходка[[#This Row],[Наименование расходного материала]])),MAX($P$1:P69)+1,0)</f>
        <v>69</v>
      </c>
      <c r="Q70" s="197">
        <f>IF(ISNUMBER(SEARCH('Карта учёта'!$B$25,Расходка[[#This Row],[Наименование расходного материала]])),MAX($Q$1:Q69)+1,0)</f>
        <v>69</v>
      </c>
      <c r="R70" s="198" t="str">
        <f>IFERROR(INDEX(Расходка[Наименование расходного материала],MATCH(Расходка[[#This Row],[№]],Поиск_расходки[Индекс1],0)),"")</f>
        <v/>
      </c>
      <c r="S70" s="198" t="str">
        <f>IFERROR(INDEX(Расходка[Наименование расходного материала],MATCH(Расходка[[#This Row],[№]],Поиск_расходки[Индекс2],0)),"")</f>
        <v/>
      </c>
      <c r="T70" s="198" t="str">
        <f>IFERROR(INDEX(Расходка[Наименование расходного материала],MATCH(Расходка[[#This Row],[№]],Поиск_расходки[Индекс3],0)),"")</f>
        <v/>
      </c>
      <c r="U70" s="198" t="str">
        <f>IFERROR(INDEX(Расходка[Наименование расходного материала],MATCH(Расходка[[#This Row],[№]],Поиск_расходки[Индекс4],0)),"")</f>
        <v/>
      </c>
      <c r="V70" s="198" t="str">
        <f>IFERROR(INDEX(Расходка[Наименование расходного материала],MATCH(Расходка[[#This Row],[№]],Поиск_расходки[Индекс5],0)),"")</f>
        <v/>
      </c>
      <c r="W70" s="198" t="str">
        <f>IFERROR(INDEX(Расходка[Наименование расходного материала],MATCH(Расходка[[#This Row],[№]],Поиск_расходки[Индекс6],0)),"")</f>
        <v/>
      </c>
      <c r="X70" s="198" t="str">
        <f>IFERROR(INDEX(Расходка[Наименование расходного материала],MATCH(Расходка[[#This Row],[№]],Поиск_расходки[Индекс7],0)),"")</f>
        <v/>
      </c>
      <c r="Y70" s="198" t="str">
        <f>IFERROR(INDEX(Расходка[Наименование расходного материала],MATCH(Расходка[[#This Row],[№]],Поиск_расходки[Индекс8],0)),"")</f>
        <v/>
      </c>
      <c r="Z70" s="198" t="str">
        <f>IFERROR(INDEX(Расходка[Наименование расходного материала],MATCH(Расходка[[#This Row],[№]],Поиск_расходки[Индекс9],0)),"")</f>
        <v/>
      </c>
      <c r="AA70" s="198" t="str">
        <f>IFERROR(INDEX(Расходка[Наименование расходного материала],MATCH(Расходка[[#This Row],[№]],Поиск_расходки[Индекс10],0)),"")</f>
        <v>Launcher 6F JL 4.0</v>
      </c>
      <c r="AB70" s="198" t="str">
        <f>IFERROR(INDEX(Расходка[Наименование расходного материала],MATCH(Расходка[[#This Row],[№]],Поиск_расходки[Индекс11],0)),"")</f>
        <v>Launcher 6F JL 4.0</v>
      </c>
      <c r="AC70" s="198" t="str">
        <f>IFERROR(INDEX(Расходка[Наименование расходного материала],MATCH(Расходка[[#This Row],[№]],Поиск_расходки[Индекс12],0)),"")</f>
        <v>Launcher 6F JL 4.0</v>
      </c>
      <c r="AD70" s="198" t="str">
        <f>IFERROR(INDEX(Расходка[Наименование расходного материала],MATCH(Расходка[[#This Row],[№]],Поиск_расходки[Индекс13],0)),"")</f>
        <v>Launcher 6F JL 4.0</v>
      </c>
      <c r="AF70" s="4" t="s">
        <v>6</v>
      </c>
      <c r="AG70" s="4" t="s">
        <v>463</v>
      </c>
    </row>
    <row r="71" spans="1:33">
      <c r="A71">
        <f>ROW(Расходка[[#This Row],[Тип расходного материала ]])-1</f>
        <v>70</v>
      </c>
      <c r="B71" t="s">
        <v>4</v>
      </c>
      <c r="C71" t="s">
        <v>335</v>
      </c>
      <c r="E71" s="197">
        <f>IF(ISNUMBER(SEARCH('Карта учёта'!$B$13,Расходка[[#This Row],[Наименование расходного материала]])),MAX($E$1:E70)+1,0)</f>
        <v>0</v>
      </c>
      <c r="F71" s="197">
        <f>IF(ISNUMBER(SEARCH('Карта учёта'!$B$14,Расходка[[#This Row],[Наименование расходного материала]])),MAX($F$1:F70)+1,0)</f>
        <v>0</v>
      </c>
      <c r="G71" s="197">
        <f>IF(ISNUMBER(SEARCH('Карта учёта'!$B$15,Расходка[[#This Row],[Наименование расходного материала]])),MAX($G$1:G70)+1,0)</f>
        <v>0</v>
      </c>
      <c r="H71" s="197">
        <f>IF(ISNUMBER(SEARCH('Карта учёта'!$B$16,Расходка[[#This Row],[Наименование расходного материала]])),MAX($H$1:H70)+1,0)</f>
        <v>0</v>
      </c>
      <c r="I71" s="197">
        <f>IF(ISNUMBER(SEARCH('Карта учёта'!$B$17,Расходка[[#This Row],[Наименование расходного материала]])),MAX($I$1:I70)+1,0)</f>
        <v>0</v>
      </c>
      <c r="J71" s="197">
        <f>IF(ISNUMBER(SEARCH('Карта учёта'!$B$18,Расходка[[#This Row],[Наименование расходного материала]])),MAX($J$1:J70)+1,0)</f>
        <v>0</v>
      </c>
      <c r="K71" s="197">
        <f>IF(ISNUMBER(SEARCH('Карта учёта'!$B$19,Расходка[[#This Row],[Наименование расходного материала]])),MAX($K$1:K70)+1,0)</f>
        <v>0</v>
      </c>
      <c r="L71" s="197">
        <f>IF(ISNUMBER(SEARCH('Карта учёта'!$B$20,Расходка[[#This Row],[Наименование расходного материала]])),MAX($L$1:L70)+1,0)</f>
        <v>0</v>
      </c>
      <c r="M71" s="197">
        <f>IF(ISNUMBER(SEARCH('Карта учёта'!$B$21,Расходка[[#This Row],[Наименование расходного материала]])),MAX($M$1:M70)+1,0)</f>
        <v>0</v>
      </c>
      <c r="N71" s="197">
        <f>IF(ISNUMBER(SEARCH('Карта учёта'!$B$22,Расходка[[#This Row],[Наименование расходного материала]])),MAX($N$1:N70)+1,0)</f>
        <v>70</v>
      </c>
      <c r="O71" s="197">
        <f>IF(ISNUMBER(SEARCH('Карта учёта'!$B$23,Расходка[[#This Row],[Наименование расходного материала]])),MAX($O$1:O70)+1,0)</f>
        <v>70</v>
      </c>
      <c r="P71" s="197">
        <f>IF(ISNUMBER(SEARCH('Карта учёта'!$B$24,Расходка[[#This Row],[Наименование расходного материала]])),MAX($P$1:P70)+1,0)</f>
        <v>70</v>
      </c>
      <c r="Q71" s="197">
        <f>IF(ISNUMBER(SEARCH('Карта учёта'!$B$25,Расходка[[#This Row],[Наименование расходного материала]])),MAX($Q$1:Q70)+1,0)</f>
        <v>70</v>
      </c>
      <c r="R71" s="198" t="str">
        <f>IFERROR(INDEX(Расходка[Наименование расходного материала],MATCH(Расходка[[#This Row],[№]],Поиск_расходки[Индекс1],0)),"")</f>
        <v/>
      </c>
      <c r="S71" s="198" t="str">
        <f>IFERROR(INDEX(Расходка[Наименование расходного материала],MATCH(Расходка[[#This Row],[№]],Поиск_расходки[Индекс2],0)),"")</f>
        <v/>
      </c>
      <c r="T71" s="198" t="str">
        <f>IFERROR(INDEX(Расходка[Наименование расходного материала],MATCH(Расходка[[#This Row],[№]],Поиск_расходки[Индекс3],0)),"")</f>
        <v/>
      </c>
      <c r="U71" s="198" t="str">
        <f>IFERROR(INDEX(Расходка[Наименование расходного материала],MATCH(Расходка[[#This Row],[№]],Поиск_расходки[Индекс4],0)),"")</f>
        <v/>
      </c>
      <c r="V71" s="198" t="str">
        <f>IFERROR(INDEX(Расходка[Наименование расходного материала],MATCH(Расходка[[#This Row],[№]],Поиск_расходки[Индекс5],0)),"")</f>
        <v/>
      </c>
      <c r="W71" s="198" t="str">
        <f>IFERROR(INDEX(Расходка[Наименование расходного материала],MATCH(Расходка[[#This Row],[№]],Поиск_расходки[Индекс6],0)),"")</f>
        <v/>
      </c>
      <c r="X71" s="198" t="str">
        <f>IFERROR(INDEX(Расходка[Наименование расходного материала],MATCH(Расходка[[#This Row],[№]],Поиск_расходки[Индекс7],0)),"")</f>
        <v/>
      </c>
      <c r="Y71" s="198" t="str">
        <f>IFERROR(INDEX(Расходка[Наименование расходного материала],MATCH(Расходка[[#This Row],[№]],Поиск_расходки[Индекс8],0)),"")</f>
        <v/>
      </c>
      <c r="Z71" s="198" t="str">
        <f>IFERROR(INDEX(Расходка[Наименование расходного материала],MATCH(Расходка[[#This Row],[№]],Поиск_расходки[Индекс9],0)),"")</f>
        <v/>
      </c>
      <c r="AA71" s="198" t="str">
        <f>IFERROR(INDEX(Расходка[Наименование расходного материала],MATCH(Расходка[[#This Row],[№]],Поиск_расходки[Индекс10],0)),"")</f>
        <v>Launcher 6F JL 4.5</v>
      </c>
      <c r="AB71" s="198" t="str">
        <f>IFERROR(INDEX(Расходка[Наименование расходного материала],MATCH(Расходка[[#This Row],[№]],Поиск_расходки[Индекс11],0)),"")</f>
        <v>Launcher 6F JL 4.5</v>
      </c>
      <c r="AC71" s="198" t="str">
        <f>IFERROR(INDEX(Расходка[Наименование расходного материала],MATCH(Расходка[[#This Row],[№]],Поиск_расходки[Индекс12],0)),"")</f>
        <v>Launcher 6F JL 4.5</v>
      </c>
      <c r="AD71" s="198" t="str">
        <f>IFERROR(INDEX(Расходка[Наименование расходного материала],MATCH(Расходка[[#This Row],[№]],Поиск_расходки[Индекс13],0)),"")</f>
        <v>Launcher 6F JL 4.5</v>
      </c>
      <c r="AF71" s="4" t="s">
        <v>6</v>
      </c>
      <c r="AG71" s="4" t="s">
        <v>418</v>
      </c>
    </row>
    <row r="72" spans="1:33">
      <c r="A72">
        <f>ROW(Расходка[[#This Row],[Тип расходного материала ]])-1</f>
        <v>71</v>
      </c>
      <c r="B72" t="s">
        <v>4</v>
      </c>
      <c r="C72" t="s">
        <v>330</v>
      </c>
      <c r="E72" s="197">
        <f>IF(ISNUMBER(SEARCH('Карта учёта'!$B$13,Расходка[[#This Row],[Наименование расходного материала]])),MAX($E$1:E71)+1,0)</f>
        <v>0</v>
      </c>
      <c r="F72" s="197">
        <f>IF(ISNUMBER(SEARCH('Карта учёта'!$B$14,Расходка[[#This Row],[Наименование расходного материала]])),MAX($F$1:F71)+1,0)</f>
        <v>0</v>
      </c>
      <c r="G72" s="197">
        <f>IF(ISNUMBER(SEARCH('Карта учёта'!$B$15,Расходка[[#This Row],[Наименование расходного материала]])),MAX($G$1:G71)+1,0)</f>
        <v>0</v>
      </c>
      <c r="H72" s="197">
        <f>IF(ISNUMBER(SEARCH('Карта учёта'!$B$16,Расходка[[#This Row],[Наименование расходного материала]])),MAX($H$1:H71)+1,0)</f>
        <v>0</v>
      </c>
      <c r="I72" s="197">
        <f>IF(ISNUMBER(SEARCH('Карта учёта'!$B$17,Расходка[[#This Row],[Наименование расходного материала]])),MAX($I$1:I71)+1,0)</f>
        <v>0</v>
      </c>
      <c r="J72" s="197">
        <f>IF(ISNUMBER(SEARCH('Карта учёта'!$B$18,Расходка[[#This Row],[Наименование расходного материала]])),MAX($J$1:J71)+1,0)</f>
        <v>0</v>
      </c>
      <c r="K72" s="197">
        <f>IF(ISNUMBER(SEARCH('Карта учёта'!$B$19,Расходка[[#This Row],[Наименование расходного материала]])),MAX($K$1:K71)+1,0)</f>
        <v>0</v>
      </c>
      <c r="L72" s="197">
        <f>IF(ISNUMBER(SEARCH('Карта учёта'!$B$20,Расходка[[#This Row],[Наименование расходного материала]])),MAX($L$1:L71)+1,0)</f>
        <v>0</v>
      </c>
      <c r="M72" s="197">
        <f>IF(ISNUMBER(SEARCH('Карта учёта'!$B$21,Расходка[[#This Row],[Наименование расходного материала]])),MAX($M$1:M71)+1,0)</f>
        <v>0</v>
      </c>
      <c r="N72" s="197">
        <f>IF(ISNUMBER(SEARCH('Карта учёта'!$B$22,Расходка[[#This Row],[Наименование расходного материала]])),MAX($N$1:N71)+1,0)</f>
        <v>71</v>
      </c>
      <c r="O72" s="197">
        <f>IF(ISNUMBER(SEARCH('Карта учёта'!$B$23,Расходка[[#This Row],[Наименование расходного материала]])),MAX($O$1:O71)+1,0)</f>
        <v>71</v>
      </c>
      <c r="P72" s="197">
        <f>IF(ISNUMBER(SEARCH('Карта учёта'!$B$24,Расходка[[#This Row],[Наименование расходного материала]])),MAX($P$1:P71)+1,0)</f>
        <v>71</v>
      </c>
      <c r="Q72" s="197">
        <f>IF(ISNUMBER(SEARCH('Карта учёта'!$B$25,Расходка[[#This Row],[Наименование расходного материала]])),MAX($Q$1:Q71)+1,0)</f>
        <v>71</v>
      </c>
      <c r="R72" s="198" t="str">
        <f>IFERROR(INDEX(Расходка[Наименование расходного материала],MATCH(Расходка[[#This Row],[№]],Поиск_расходки[Индекс1],0)),"")</f>
        <v/>
      </c>
      <c r="S72" s="198" t="str">
        <f>IFERROR(INDEX(Расходка[Наименование расходного материала],MATCH(Расходка[[#This Row],[№]],Поиск_расходки[Индекс2],0)),"")</f>
        <v/>
      </c>
      <c r="T72" s="198" t="str">
        <f>IFERROR(INDEX(Расходка[Наименование расходного материала],MATCH(Расходка[[#This Row],[№]],Поиск_расходки[Индекс3],0)),"")</f>
        <v/>
      </c>
      <c r="U72" s="198" t="str">
        <f>IFERROR(INDEX(Расходка[Наименование расходного материала],MATCH(Расходка[[#This Row],[№]],Поиск_расходки[Индекс4],0)),"")</f>
        <v/>
      </c>
      <c r="V72" s="198" t="str">
        <f>IFERROR(INDEX(Расходка[Наименование расходного материала],MATCH(Расходка[[#This Row],[№]],Поиск_расходки[Индекс5],0)),"")</f>
        <v/>
      </c>
      <c r="W72" s="198" t="str">
        <f>IFERROR(INDEX(Расходка[Наименование расходного материала],MATCH(Расходка[[#This Row],[№]],Поиск_расходки[Индекс6],0)),"")</f>
        <v/>
      </c>
      <c r="X72" s="198" t="str">
        <f>IFERROR(INDEX(Расходка[Наименование расходного материала],MATCH(Расходка[[#This Row],[№]],Поиск_расходки[Индекс7],0)),"")</f>
        <v/>
      </c>
      <c r="Y72" s="198" t="str">
        <f>IFERROR(INDEX(Расходка[Наименование расходного материала],MATCH(Расходка[[#This Row],[№]],Поиск_расходки[Индекс8],0)),"")</f>
        <v/>
      </c>
      <c r="Z72" s="198" t="str">
        <f>IFERROR(INDEX(Расходка[Наименование расходного материала],MATCH(Расходка[[#This Row],[№]],Поиск_расходки[Индекс9],0)),"")</f>
        <v/>
      </c>
      <c r="AA72" s="198" t="str">
        <f>IFERROR(INDEX(Расходка[Наименование расходного материала],MATCH(Расходка[[#This Row],[№]],Поиск_расходки[Индекс10],0)),"")</f>
        <v>Launcher 6F JR 3.5</v>
      </c>
      <c r="AB72" s="198" t="str">
        <f>IFERROR(INDEX(Расходка[Наименование расходного материала],MATCH(Расходка[[#This Row],[№]],Поиск_расходки[Индекс11],0)),"")</f>
        <v>Launcher 6F JR 3.5</v>
      </c>
      <c r="AC72" s="198" t="str">
        <f>IFERROR(INDEX(Расходка[Наименование расходного материала],MATCH(Расходка[[#This Row],[№]],Поиск_расходки[Индекс12],0)),"")</f>
        <v>Launcher 6F JR 3.5</v>
      </c>
      <c r="AD72" s="198" t="str">
        <f>IFERROR(INDEX(Расходка[Наименование расходного материала],MATCH(Расходка[[#This Row],[№]],Поиск_расходки[Индекс13],0)),"")</f>
        <v>Launcher 6F JR 3.5</v>
      </c>
      <c r="AF72" s="4" t="s">
        <v>6</v>
      </c>
      <c r="AG72" s="4" t="s">
        <v>464</v>
      </c>
    </row>
    <row r="73" spans="1:33">
      <c r="A73">
        <f>ROW(Расходка[[#This Row],[Тип расходного материала ]])-1</f>
        <v>72</v>
      </c>
      <c r="B73" t="s">
        <v>4</v>
      </c>
      <c r="C73" t="s">
        <v>331</v>
      </c>
      <c r="E73" s="197">
        <f>IF(ISNUMBER(SEARCH('Карта учёта'!$B$13,Расходка[[#This Row],[Наименование расходного материала]])),MAX($E$1:E72)+1,0)</f>
        <v>0</v>
      </c>
      <c r="F73" s="197">
        <f>IF(ISNUMBER(SEARCH('Карта учёта'!$B$14,Расходка[[#This Row],[Наименование расходного материала]])),MAX($F$1:F72)+1,0)</f>
        <v>0</v>
      </c>
      <c r="G73" s="197">
        <f>IF(ISNUMBER(SEARCH('Карта учёта'!$B$15,Расходка[[#This Row],[Наименование расходного материала]])),MAX($G$1:G72)+1,0)</f>
        <v>1</v>
      </c>
      <c r="H73" s="197">
        <f>IF(ISNUMBER(SEARCH('Карта учёта'!$B$16,Расходка[[#This Row],[Наименование расходного материала]])),MAX($H$1:H72)+1,0)</f>
        <v>0</v>
      </c>
      <c r="I73" s="197">
        <f>IF(ISNUMBER(SEARCH('Карта учёта'!$B$17,Расходка[[#This Row],[Наименование расходного материала]])),MAX($I$1:I72)+1,0)</f>
        <v>0</v>
      </c>
      <c r="J73" s="197">
        <f>IF(ISNUMBER(SEARCH('Карта учёта'!$B$18,Расходка[[#This Row],[Наименование расходного материала]])),MAX($J$1:J72)+1,0)</f>
        <v>0</v>
      </c>
      <c r="K73" s="197">
        <f>IF(ISNUMBER(SEARCH('Карта учёта'!$B$19,Расходка[[#This Row],[Наименование расходного материала]])),MAX($K$1:K72)+1,0)</f>
        <v>0</v>
      </c>
      <c r="L73" s="197">
        <f>IF(ISNUMBER(SEARCH('Карта учёта'!$B$20,Расходка[[#This Row],[Наименование расходного материала]])),MAX($L$1:L72)+1,0)</f>
        <v>0</v>
      </c>
      <c r="M73" s="197">
        <f>IF(ISNUMBER(SEARCH('Карта учёта'!$B$21,Расходка[[#This Row],[Наименование расходного материала]])),MAX($M$1:M72)+1,0)</f>
        <v>0</v>
      </c>
      <c r="N73" s="197">
        <f>IF(ISNUMBER(SEARCH('Карта учёта'!$B$22,Расходка[[#This Row],[Наименование расходного материала]])),MAX($N$1:N72)+1,0)</f>
        <v>72</v>
      </c>
      <c r="O73" s="197">
        <f>IF(ISNUMBER(SEARCH('Карта учёта'!$B$23,Расходка[[#This Row],[Наименование расходного материала]])),MAX($O$1:O72)+1,0)</f>
        <v>72</v>
      </c>
      <c r="P73" s="197">
        <f>IF(ISNUMBER(SEARCH('Карта учёта'!$B$24,Расходка[[#This Row],[Наименование расходного материала]])),MAX($P$1:P72)+1,0)</f>
        <v>72</v>
      </c>
      <c r="Q73" s="197">
        <f>IF(ISNUMBER(SEARCH('Карта учёта'!$B$25,Расходка[[#This Row],[Наименование расходного материала]])),MAX($Q$1:Q72)+1,0)</f>
        <v>72</v>
      </c>
      <c r="R73" s="198" t="str">
        <f>IFERROR(INDEX(Расходка[Наименование расходного материала],MATCH(Расходка[[#This Row],[№]],Поиск_расходки[Индекс1],0)),"")</f>
        <v/>
      </c>
      <c r="S73" s="198" t="str">
        <f>IFERROR(INDEX(Расходка[Наименование расходного материала],MATCH(Расходка[[#This Row],[№]],Поиск_расходки[Индекс2],0)),"")</f>
        <v/>
      </c>
      <c r="T73" s="198" t="str">
        <f>IFERROR(INDEX(Расходка[Наименование расходного материала],MATCH(Расходка[[#This Row],[№]],Поиск_расходки[Индекс3],0)),"")</f>
        <v/>
      </c>
      <c r="U73" s="198" t="str">
        <f>IFERROR(INDEX(Расходка[Наименование расходного материала],MATCH(Расходка[[#This Row],[№]],Поиск_расходки[Индекс4],0)),"")</f>
        <v/>
      </c>
      <c r="V73" s="198" t="str">
        <f>IFERROR(INDEX(Расходка[Наименование расходного материала],MATCH(Расходка[[#This Row],[№]],Поиск_расходки[Индекс5],0)),"")</f>
        <v/>
      </c>
      <c r="W73" s="198" t="str">
        <f>IFERROR(INDEX(Расходка[Наименование расходного материала],MATCH(Расходка[[#This Row],[№]],Поиск_расходки[Индекс6],0)),"")</f>
        <v/>
      </c>
      <c r="X73" s="198" t="str">
        <f>IFERROR(INDEX(Расходка[Наименование расходного материала],MATCH(Расходка[[#This Row],[№]],Поиск_расходки[Индекс7],0)),"")</f>
        <v/>
      </c>
      <c r="Y73" s="198" t="str">
        <f>IFERROR(INDEX(Расходка[Наименование расходного материала],MATCH(Расходка[[#This Row],[№]],Поиск_расходки[Индекс8],0)),"")</f>
        <v/>
      </c>
      <c r="Z73" s="198" t="str">
        <f>IFERROR(INDEX(Расходка[Наименование расходного материала],MATCH(Расходка[[#This Row],[№]],Поиск_расходки[Индекс9],0)),"")</f>
        <v/>
      </c>
      <c r="AA73" s="198" t="str">
        <f>IFERROR(INDEX(Расходка[Наименование расходного материала],MATCH(Расходка[[#This Row],[№]],Поиск_расходки[Индекс10],0)),"")</f>
        <v>Launcher 6F JR 4.0</v>
      </c>
      <c r="AB73" s="198" t="str">
        <f>IFERROR(INDEX(Расходка[Наименование расходного материала],MATCH(Расходка[[#This Row],[№]],Поиск_расходки[Индекс11],0)),"")</f>
        <v>Launcher 6F JR 4.0</v>
      </c>
      <c r="AC73" s="198" t="str">
        <f>IFERROR(INDEX(Расходка[Наименование расходного материала],MATCH(Расходка[[#This Row],[№]],Поиск_расходки[Индекс12],0)),"")</f>
        <v>Launcher 6F JR 4.0</v>
      </c>
      <c r="AD73" s="198" t="str">
        <f>IFERROR(INDEX(Расходка[Наименование расходного материала],MATCH(Расходка[[#This Row],[№]],Поиск_расходки[Индекс13],0)),"")</f>
        <v>Launcher 6F JR 4.0</v>
      </c>
      <c r="AF73" s="4" t="s">
        <v>6</v>
      </c>
      <c r="AG73" s="4" t="s">
        <v>419</v>
      </c>
    </row>
    <row r="74" spans="1:33">
      <c r="A74">
        <f>ROW(Расходка[[#This Row],[Тип расходного материала ]])-1</f>
        <v>73</v>
      </c>
      <c r="B74" t="s">
        <v>4</v>
      </c>
      <c r="C74" t="s">
        <v>341</v>
      </c>
      <c r="E74" s="197">
        <f>IF(ISNUMBER(SEARCH('Карта учёта'!$B$13,Расходка[[#This Row],[Наименование расходного материала]])),MAX($E$1:E73)+1,0)</f>
        <v>0</v>
      </c>
      <c r="F74" s="197">
        <f>IF(ISNUMBER(SEARCH('Карта учёта'!$B$14,Расходка[[#This Row],[Наименование расходного материала]])),MAX($F$1:F73)+1,0)</f>
        <v>0</v>
      </c>
      <c r="G74" s="197">
        <f>IF(ISNUMBER(SEARCH('Карта учёта'!$B$15,Расходка[[#This Row],[Наименование расходного материала]])),MAX($G$1:G73)+1,0)</f>
        <v>0</v>
      </c>
      <c r="H74" s="197">
        <f>IF(ISNUMBER(SEARCH('Карта учёта'!$B$16,Расходка[[#This Row],[Наименование расходного материала]])),MAX($H$1:H73)+1,0)</f>
        <v>0</v>
      </c>
      <c r="I74" s="197">
        <f>IF(ISNUMBER(SEARCH('Карта учёта'!$B$17,Расходка[[#This Row],[Наименование расходного материала]])),MAX($I$1:I73)+1,0)</f>
        <v>0</v>
      </c>
      <c r="J74" s="197">
        <f>IF(ISNUMBER(SEARCH('Карта учёта'!$B$18,Расходка[[#This Row],[Наименование расходного материала]])),MAX($J$1:J73)+1,0)</f>
        <v>0</v>
      </c>
      <c r="K74" s="197">
        <f>IF(ISNUMBER(SEARCH('Карта учёта'!$B$19,Расходка[[#This Row],[Наименование расходного материала]])),MAX($K$1:K73)+1,0)</f>
        <v>0</v>
      </c>
      <c r="L74" s="197">
        <f>IF(ISNUMBER(SEARCH('Карта учёта'!$B$20,Расходка[[#This Row],[Наименование расходного материала]])),MAX($L$1:L73)+1,0)</f>
        <v>0</v>
      </c>
      <c r="M74" s="197">
        <f>IF(ISNUMBER(SEARCH('Карта учёта'!$B$21,Расходка[[#This Row],[Наименование расходного материала]])),MAX($M$1:M73)+1,0)</f>
        <v>0</v>
      </c>
      <c r="N74" s="197">
        <f>IF(ISNUMBER(SEARCH('Карта учёта'!$B$22,Расходка[[#This Row],[Наименование расходного материала]])),MAX($N$1:N73)+1,0)</f>
        <v>73</v>
      </c>
      <c r="O74" s="197">
        <f>IF(ISNUMBER(SEARCH('Карта учёта'!$B$23,Расходка[[#This Row],[Наименование расходного материала]])),MAX($O$1:O73)+1,0)</f>
        <v>73</v>
      </c>
      <c r="P74" s="197">
        <f>IF(ISNUMBER(SEARCH('Карта учёта'!$B$24,Расходка[[#This Row],[Наименование расходного материала]])),MAX($P$1:P73)+1,0)</f>
        <v>73</v>
      </c>
      <c r="Q74" s="197">
        <f>IF(ISNUMBER(SEARCH('Карта учёта'!$B$25,Расходка[[#This Row],[Наименование расходного материала]])),MAX($Q$1:Q73)+1,0)</f>
        <v>73</v>
      </c>
      <c r="R74" s="198" t="str">
        <f>IFERROR(INDEX(Расходка[Наименование расходного материала],MATCH(Расходка[[#This Row],[№]],Поиск_расходки[Индекс1],0)),"")</f>
        <v/>
      </c>
      <c r="S74" s="198" t="str">
        <f>IFERROR(INDEX(Расходка[Наименование расходного материала],MATCH(Расходка[[#This Row],[№]],Поиск_расходки[Индекс2],0)),"")</f>
        <v/>
      </c>
      <c r="T74" s="198" t="str">
        <f>IFERROR(INDEX(Расходка[Наименование расходного материала],MATCH(Расходка[[#This Row],[№]],Поиск_расходки[Индекс3],0)),"")</f>
        <v/>
      </c>
      <c r="U74" s="198" t="str">
        <f>IFERROR(INDEX(Расходка[Наименование расходного материала],MATCH(Расходка[[#This Row],[№]],Поиск_расходки[Индекс4],0)),"")</f>
        <v/>
      </c>
      <c r="V74" s="198" t="str">
        <f>IFERROR(INDEX(Расходка[Наименование расходного материала],MATCH(Расходка[[#This Row],[№]],Поиск_расходки[Индекс5],0)),"")</f>
        <v/>
      </c>
      <c r="W74" s="198" t="str">
        <f>IFERROR(INDEX(Расходка[Наименование расходного материала],MATCH(Расходка[[#This Row],[№]],Поиск_расходки[Индекс6],0)),"")</f>
        <v/>
      </c>
      <c r="X74" s="198" t="str">
        <f>IFERROR(INDEX(Расходка[Наименование расходного материала],MATCH(Расходка[[#This Row],[№]],Поиск_расходки[Индекс7],0)),"")</f>
        <v/>
      </c>
      <c r="Y74" s="198" t="str">
        <f>IFERROR(INDEX(Расходка[Наименование расходного материала],MATCH(Расходка[[#This Row],[№]],Поиск_расходки[Индекс8],0)),"")</f>
        <v/>
      </c>
      <c r="Z74" s="198" t="str">
        <f>IFERROR(INDEX(Расходка[Наименование расходного материала],MATCH(Расходка[[#This Row],[№]],Поиск_расходки[Индекс9],0)),"")</f>
        <v/>
      </c>
      <c r="AA74" s="198" t="str">
        <f>IFERROR(INDEX(Расходка[Наименование расходного материала],MATCH(Расходка[[#This Row],[№]],Поиск_расходки[Индекс10],0)),"")</f>
        <v>Launcher 7F JL 3.5</v>
      </c>
      <c r="AB74" s="198" t="str">
        <f>IFERROR(INDEX(Расходка[Наименование расходного материала],MATCH(Расходка[[#This Row],[№]],Поиск_расходки[Индекс11],0)),"")</f>
        <v>Launcher 7F JL 3.5</v>
      </c>
      <c r="AC74" s="198" t="str">
        <f>IFERROR(INDEX(Расходка[Наименование расходного материала],MATCH(Расходка[[#This Row],[№]],Поиск_расходки[Индекс12],0)),"")</f>
        <v>Launcher 7F JL 3.5</v>
      </c>
      <c r="AD74" s="198" t="str">
        <f>IFERROR(INDEX(Расходка[Наименование расходного материала],MATCH(Расходка[[#This Row],[№]],Поиск_расходки[Индекс13],0)),"")</f>
        <v>Launcher 7F JL 3.5</v>
      </c>
      <c r="AF74" s="4" t="s">
        <v>6</v>
      </c>
      <c r="AG74" s="4" t="s">
        <v>465</v>
      </c>
    </row>
    <row r="75" spans="1:33">
      <c r="A75">
        <f>ROW(Расходка[[#This Row],[Тип расходного материала ]])-1</f>
        <v>74</v>
      </c>
      <c r="B75" t="s">
        <v>4</v>
      </c>
      <c r="C75" t="s">
        <v>340</v>
      </c>
      <c r="E75" s="197">
        <f>IF(ISNUMBER(SEARCH('Карта учёта'!$B$13,Расходка[[#This Row],[Наименование расходного материала]])),MAX($E$1:E74)+1,0)</f>
        <v>0</v>
      </c>
      <c r="F75" s="197">
        <f>IF(ISNUMBER(SEARCH('Карта учёта'!$B$14,Расходка[[#This Row],[Наименование расходного материала]])),MAX($F$1:F74)+1,0)</f>
        <v>0</v>
      </c>
      <c r="G75" s="197">
        <f>IF(ISNUMBER(SEARCH('Карта учёта'!$B$15,Расходка[[#This Row],[Наименование расходного материала]])),MAX($G$1:G74)+1,0)</f>
        <v>0</v>
      </c>
      <c r="H75" s="197">
        <f>IF(ISNUMBER(SEARCH('Карта учёта'!$B$16,Расходка[[#This Row],[Наименование расходного материала]])),MAX($H$1:H74)+1,0)</f>
        <v>0</v>
      </c>
      <c r="I75" s="197">
        <f>IF(ISNUMBER(SEARCH('Карта учёта'!$B$17,Расходка[[#This Row],[Наименование расходного материала]])),MAX($I$1:I74)+1,0)</f>
        <v>0</v>
      </c>
      <c r="J75" s="197">
        <f>IF(ISNUMBER(SEARCH('Карта учёта'!$B$18,Расходка[[#This Row],[Наименование расходного материала]])),MAX($J$1:J74)+1,0)</f>
        <v>0</v>
      </c>
      <c r="K75" s="197">
        <f>IF(ISNUMBER(SEARCH('Карта учёта'!$B$19,Расходка[[#This Row],[Наименование расходного материала]])),MAX($K$1:K74)+1,0)</f>
        <v>0</v>
      </c>
      <c r="L75" s="197">
        <f>IF(ISNUMBER(SEARCH('Карта учёта'!$B$20,Расходка[[#This Row],[Наименование расходного материала]])),MAX($L$1:L74)+1,0)</f>
        <v>0</v>
      </c>
      <c r="M75" s="197">
        <f>IF(ISNUMBER(SEARCH('Карта учёта'!$B$21,Расходка[[#This Row],[Наименование расходного материала]])),MAX($M$1:M74)+1,0)</f>
        <v>0</v>
      </c>
      <c r="N75" s="197">
        <f>IF(ISNUMBER(SEARCH('Карта учёта'!$B$22,Расходка[[#This Row],[Наименование расходного материала]])),MAX($N$1:N74)+1,0)</f>
        <v>74</v>
      </c>
      <c r="O75" s="197">
        <f>IF(ISNUMBER(SEARCH('Карта учёта'!$B$23,Расходка[[#This Row],[Наименование расходного материала]])),MAX($O$1:O74)+1,0)</f>
        <v>74</v>
      </c>
      <c r="P75" s="197">
        <f>IF(ISNUMBER(SEARCH('Карта учёта'!$B$24,Расходка[[#This Row],[Наименование расходного материала]])),MAX($P$1:P74)+1,0)</f>
        <v>74</v>
      </c>
      <c r="Q75" s="197">
        <f>IF(ISNUMBER(SEARCH('Карта учёта'!$B$25,Расходка[[#This Row],[Наименование расходного материала]])),MAX($Q$1:Q74)+1,0)</f>
        <v>74</v>
      </c>
      <c r="R75" s="198" t="str">
        <f>IFERROR(INDEX(Расходка[Наименование расходного материала],MATCH(Расходка[[#This Row],[№]],Поиск_расходки[Индекс1],0)),"")</f>
        <v/>
      </c>
      <c r="S75" s="198" t="str">
        <f>IFERROR(INDEX(Расходка[Наименование расходного материала],MATCH(Расходка[[#This Row],[№]],Поиск_расходки[Индекс2],0)),"")</f>
        <v/>
      </c>
      <c r="T75" s="198" t="str">
        <f>IFERROR(INDEX(Расходка[Наименование расходного материала],MATCH(Расходка[[#This Row],[№]],Поиск_расходки[Индекс3],0)),"")</f>
        <v/>
      </c>
      <c r="U75" s="198" t="str">
        <f>IFERROR(INDEX(Расходка[Наименование расходного материала],MATCH(Расходка[[#This Row],[№]],Поиск_расходки[Индекс4],0)),"")</f>
        <v/>
      </c>
      <c r="V75" s="198" t="str">
        <f>IFERROR(INDEX(Расходка[Наименование расходного материала],MATCH(Расходка[[#This Row],[№]],Поиск_расходки[Индекс5],0)),"")</f>
        <v/>
      </c>
      <c r="W75" s="198" t="str">
        <f>IFERROR(INDEX(Расходка[Наименование расходного материала],MATCH(Расходка[[#This Row],[№]],Поиск_расходки[Индекс6],0)),"")</f>
        <v/>
      </c>
      <c r="X75" s="198" t="str">
        <f>IFERROR(INDEX(Расходка[Наименование расходного материала],MATCH(Расходка[[#This Row],[№]],Поиск_расходки[Индекс7],0)),"")</f>
        <v/>
      </c>
      <c r="Y75" s="198" t="str">
        <f>IFERROR(INDEX(Расходка[Наименование расходного материала],MATCH(Расходка[[#This Row],[№]],Поиск_расходки[Индекс8],0)),"")</f>
        <v/>
      </c>
      <c r="Z75" s="198" t="str">
        <f>IFERROR(INDEX(Расходка[Наименование расходного материала],MATCH(Расходка[[#This Row],[№]],Поиск_расходки[Индекс9],0)),"")</f>
        <v/>
      </c>
      <c r="AA75" s="198" t="str">
        <f>IFERROR(INDEX(Расходка[Наименование расходного материала],MATCH(Расходка[[#This Row],[№]],Поиск_расходки[Индекс10],0)),"")</f>
        <v>Launcher 7F JL 4.0</v>
      </c>
      <c r="AB75" s="198" t="str">
        <f>IFERROR(INDEX(Расходка[Наименование расходного материала],MATCH(Расходка[[#This Row],[№]],Поиск_расходки[Индекс11],0)),"")</f>
        <v>Launcher 7F JL 4.0</v>
      </c>
      <c r="AC75" s="198" t="str">
        <f>IFERROR(INDEX(Расходка[Наименование расходного материала],MATCH(Расходка[[#This Row],[№]],Поиск_расходки[Индекс12],0)),"")</f>
        <v>Launcher 7F JL 4.0</v>
      </c>
      <c r="AD75" s="198" t="str">
        <f>IFERROR(INDEX(Расходка[Наименование расходного материала],MATCH(Расходка[[#This Row],[№]],Поиск_расходки[Индекс13],0)),"")</f>
        <v>Launcher 7F JL 4.0</v>
      </c>
      <c r="AF75" s="4" t="s">
        <v>6</v>
      </c>
      <c r="AG75" s="4" t="s">
        <v>466</v>
      </c>
    </row>
    <row r="76" spans="1:33">
      <c r="A76">
        <f>ROW(Расходка[[#This Row],[Тип расходного материала ]])-1</f>
        <v>75</v>
      </c>
      <c r="B76" t="s">
        <v>301</v>
      </c>
      <c r="C76" s="1" t="s">
        <v>332</v>
      </c>
      <c r="E76" s="197">
        <f>IF(ISNUMBER(SEARCH('Карта учёта'!$B$13,Расходка[[#This Row],[Наименование расходного материала]])),MAX($E$1:E75)+1,0)</f>
        <v>0</v>
      </c>
      <c r="F76" s="197">
        <f>IF(ISNUMBER(SEARCH('Карта учёта'!$B$14,Расходка[[#This Row],[Наименование расходного материала]])),MAX($F$1:F75)+1,0)</f>
        <v>0</v>
      </c>
      <c r="G76" s="197">
        <f>IF(ISNUMBER(SEARCH('Карта учёта'!$B$15,Расходка[[#This Row],[Наименование расходного материала]])),MAX($G$1:G75)+1,0)</f>
        <v>0</v>
      </c>
      <c r="H76" s="197">
        <f>IF(ISNUMBER(SEARCH('Карта учёта'!$B$16,Расходка[[#This Row],[Наименование расходного материала]])),MAX($H$1:H75)+1,0)</f>
        <v>0</v>
      </c>
      <c r="I76" s="197">
        <f>IF(ISNUMBER(SEARCH('Карта учёта'!$B$17,Расходка[[#This Row],[Наименование расходного материала]])),MAX($I$1:I75)+1,0)</f>
        <v>0</v>
      </c>
      <c r="J76" s="197">
        <f>IF(ISNUMBER(SEARCH('Карта учёта'!$B$18,Расходка[[#This Row],[Наименование расходного материала]])),MAX($J$1:J75)+1,0)</f>
        <v>0</v>
      </c>
      <c r="K76" s="197">
        <f>IF(ISNUMBER(SEARCH('Карта учёта'!$B$19,Расходка[[#This Row],[Наименование расходного материала]])),MAX($K$1:K75)+1,0)</f>
        <v>0</v>
      </c>
      <c r="L76" s="197">
        <f>IF(ISNUMBER(SEARCH('Карта учёта'!$B$20,Расходка[[#This Row],[Наименование расходного материала]])),MAX($L$1:L75)+1,0)</f>
        <v>0</v>
      </c>
      <c r="M76" s="197">
        <f>IF(ISNUMBER(SEARCH('Карта учёта'!$B$21,Расходка[[#This Row],[Наименование расходного материала]])),MAX($M$1:M75)+1,0)</f>
        <v>0</v>
      </c>
      <c r="N76" s="197">
        <f>IF(ISNUMBER(SEARCH('Карта учёта'!$B$22,Расходка[[#This Row],[Наименование расходного материала]])),MAX($N$1:N75)+1,0)</f>
        <v>75</v>
      </c>
      <c r="O76" s="197">
        <f>IF(ISNUMBER(SEARCH('Карта учёта'!$B$23,Расходка[[#This Row],[Наименование расходного материала]])),MAX($O$1:O75)+1,0)</f>
        <v>75</v>
      </c>
      <c r="P76" s="197">
        <f>IF(ISNUMBER(SEARCH('Карта учёта'!$B$24,Расходка[[#This Row],[Наименование расходного материала]])),MAX($P$1:P75)+1,0)</f>
        <v>75</v>
      </c>
      <c r="Q76" s="197">
        <f>IF(ISNUMBER(SEARCH('Карта учёта'!$B$25,Расходка[[#This Row],[Наименование расходного материала]])),MAX($Q$1:Q75)+1,0)</f>
        <v>75</v>
      </c>
      <c r="R76" s="198" t="str">
        <f>IFERROR(INDEX(Расходка[Наименование расходного материала],MATCH(Расходка[[#This Row],[№]],Поиск_расходки[Индекс1],0)),"")</f>
        <v/>
      </c>
      <c r="S76" s="198" t="str">
        <f>IFERROR(INDEX(Расходка[Наименование расходного материала],MATCH(Расходка[[#This Row],[№]],Поиск_расходки[Индекс2],0)),"")</f>
        <v/>
      </c>
      <c r="T76" s="198" t="str">
        <f>IFERROR(INDEX(Расходка[Наименование расходного материала],MATCH(Расходка[[#This Row],[№]],Поиск_расходки[Индекс3],0)),"")</f>
        <v/>
      </c>
      <c r="U76" s="198" t="str">
        <f>IFERROR(INDEX(Расходка[Наименование расходного материала],MATCH(Расходка[[#This Row],[№]],Поиск_расходки[Индекс4],0)),"")</f>
        <v/>
      </c>
      <c r="V76" s="198" t="str">
        <f>IFERROR(INDEX(Расходка[Наименование расходного материала],MATCH(Расходка[[#This Row],[№]],Поиск_расходки[Индекс5],0)),"")</f>
        <v/>
      </c>
      <c r="W76" s="198" t="str">
        <f>IFERROR(INDEX(Расходка[Наименование расходного материала],MATCH(Расходка[[#This Row],[№]],Поиск_расходки[Индекс6],0)),"")</f>
        <v/>
      </c>
      <c r="X76" s="198" t="str">
        <f>IFERROR(INDEX(Расходка[Наименование расходного материала],MATCH(Расходка[[#This Row],[№]],Поиск_расходки[Индекс7],0)),"")</f>
        <v/>
      </c>
      <c r="Y76" s="198" t="str">
        <f>IFERROR(INDEX(Расходка[Наименование расходного материала],MATCH(Расходка[[#This Row],[№]],Поиск_расходки[Индекс8],0)),"")</f>
        <v/>
      </c>
      <c r="Z76" s="198" t="str">
        <f>IFERROR(INDEX(Расходка[Наименование расходного материала],MATCH(Расходка[[#This Row],[№]],Поиск_расходки[Индекс9],0)),"")</f>
        <v/>
      </c>
      <c r="AA76" s="198" t="str">
        <f>IFERROR(INDEX(Расходка[Наименование расходного материала],MATCH(Расходка[[#This Row],[№]],Поиск_расходки[Индекс10],0)),"")</f>
        <v>Angio-Seal™ VIP</v>
      </c>
      <c r="AB76" s="198" t="str">
        <f>IFERROR(INDEX(Расходка[Наименование расходного материала],MATCH(Расходка[[#This Row],[№]],Поиск_расходки[Индекс11],0)),"")</f>
        <v>Angio-Seal™ VIP</v>
      </c>
      <c r="AC76" s="198" t="str">
        <f>IFERROR(INDEX(Расходка[Наименование расходного материала],MATCH(Расходка[[#This Row],[№]],Поиск_расходки[Индекс12],0)),"")</f>
        <v>Angio-Seal™ VIP</v>
      </c>
      <c r="AD76" s="198" t="str">
        <f>IFERROR(INDEX(Расходка[Наименование расходного материала],MATCH(Расходка[[#This Row],[№]],Поиск_расходки[Индекс13],0)),"")</f>
        <v>Angio-Seal™ VIP</v>
      </c>
      <c r="AF76" s="4" t="s">
        <v>6</v>
      </c>
      <c r="AG76" s="4" t="s">
        <v>467</v>
      </c>
    </row>
    <row r="77" spans="1:33">
      <c r="E77" s="197">
        <f>IF(ISNUMBER(SEARCH('Карта учёта'!$B$13,Расходка[[#This Row],[Наименование расходного материала]])),MAX($E$1:E76)+1,0)</f>
        <v>0</v>
      </c>
      <c r="F77" s="197">
        <f>IF(ISNUMBER(SEARCH('Карта учёта'!$B$14,Расходка[[#This Row],[Наименование расходного материала]])),MAX($F$1:F76)+1,0)</f>
        <v>0</v>
      </c>
      <c r="G77" s="197">
        <f>IF(ISNUMBER(SEARCH('Карта учёта'!$B$15,Расходка[[#This Row],[Наименование расходного материала]])),MAX($G$1:G76)+1,0)</f>
        <v>0</v>
      </c>
      <c r="H77" s="197">
        <f>IF(ISNUMBER(SEARCH('Карта учёта'!$B$16,Расходка[[#This Row],[Наименование расходного материала]])),MAX($H$1:H76)+1,0)</f>
        <v>0</v>
      </c>
      <c r="I77" s="197">
        <f>IF(ISNUMBER(SEARCH('Карта учёта'!$B$17,Расходка[[#This Row],[Наименование расходного материала]])),MAX($I$1:I76)+1,0)</f>
        <v>0</v>
      </c>
      <c r="J77" s="197">
        <f>IF(ISNUMBER(SEARCH('Карта учёта'!$B$18,Расходка[[#This Row],[Наименование расходного материала]])),MAX($J$1:J76)+1,0)</f>
        <v>0</v>
      </c>
      <c r="K77" s="197">
        <f>IF(ISNUMBER(SEARCH('Карта учёта'!$B$19,Расходка[[#This Row],[Наименование расходного материала]])),MAX($K$1:K76)+1,0)</f>
        <v>0</v>
      </c>
      <c r="L77" s="197">
        <f>IF(ISNUMBER(SEARCH('Карта учёта'!$B$20,Расходка[[#This Row],[Наименование расходного материала]])),MAX($L$1:L76)+1,0)</f>
        <v>0</v>
      </c>
      <c r="M77" s="197">
        <f>IF(ISNUMBER(SEARCH('Карта учёта'!$B$21,Расходка[[#This Row],[Наименование расходного материала]])),MAX($M$1:M76)+1,0)</f>
        <v>0</v>
      </c>
      <c r="N77" s="197">
        <f>IF(ISNUMBER(SEARCH('Карта учёта'!$B$22,Расходка[[#This Row],[Наименование расходного материала]])),MAX($N$1:N76)+1,0)</f>
        <v>0</v>
      </c>
      <c r="O77" s="197">
        <f>IF(ISNUMBER(SEARCH('Карта учёта'!$B$23,Расходка[[#This Row],[Наименование расходного материала]])),MAX($O$1:O76)+1,0)</f>
        <v>0</v>
      </c>
      <c r="P77" s="197">
        <f>IF(ISNUMBER(SEARCH('Карта учёта'!$B$24,Расходка[[#This Row],[Наименование расходного материала]])),MAX($P$1:P76)+1,0)</f>
        <v>0</v>
      </c>
      <c r="Q77" s="197">
        <f>IF(ISNUMBER(SEARCH('Карта учёта'!$B$25,Расходка[[#This Row],[Наименование расходного материала]])),MAX($Q$1:Q76)+1,0)</f>
        <v>0</v>
      </c>
      <c r="R77" s="198" t="str">
        <f>IFERROR(INDEX(Расходка[Наименование расходного материала],MATCH(Расходка[[#This Row],[№]],Поиск_расходки[Индекс1],0)),"")</f>
        <v/>
      </c>
      <c r="S77" s="198" t="str">
        <f>IFERROR(INDEX(Расходка[Наименование расходного материала],MATCH(Расходка[[#This Row],[№]],Поиск_расходки[Индекс2],0)),"")</f>
        <v/>
      </c>
      <c r="T77" s="198" t="str">
        <f>IFERROR(INDEX(Расходка[Наименование расходного материала],MATCH(Расходка[[#This Row],[№]],Поиск_расходки[Индекс3],0)),"")</f>
        <v/>
      </c>
      <c r="U77" s="198" t="str">
        <f>IFERROR(INDEX(Расходка[Наименование расходного материала],MATCH(Расходка[[#This Row],[№]],Поиск_расходки[Индекс4],0)),"")</f>
        <v/>
      </c>
      <c r="V77" s="198" t="str">
        <f>IFERROR(INDEX(Расходка[Наименование расходного материала],MATCH(Расходка[[#This Row],[№]],Поиск_расходки[Индекс5],0)),"")</f>
        <v/>
      </c>
      <c r="W77" s="198" t="str">
        <f>IFERROR(INDEX(Расходка[Наименование расходного материала],MATCH(Расходка[[#This Row],[№]],Поиск_расходки[Индекс6],0)),"")</f>
        <v/>
      </c>
      <c r="X77" s="198" t="str">
        <f>IFERROR(INDEX(Расходка[Наименование расходного материала],MATCH(Расходка[[#This Row],[№]],Поиск_расходки[Индекс7],0)),"")</f>
        <v/>
      </c>
      <c r="Y77" s="198" t="str">
        <f>IFERROR(INDEX(Расходка[Наименование расходного материала],MATCH(Расходка[[#This Row],[№]],Поиск_расходки[Индекс8],0)),"")</f>
        <v/>
      </c>
      <c r="Z77" s="198" t="str">
        <f>IFERROR(INDEX(Расходка[Наименование расходного материала],MATCH(Расходка[[#This Row],[№]],Поиск_расходки[Индекс9],0)),"")</f>
        <v/>
      </c>
      <c r="AA77" s="198" t="str">
        <f>IFERROR(INDEX(Расходка[Наименование расходного материала],MATCH(Расходка[[#This Row],[№]],Поиск_расходки[Индекс10],0)),"")</f>
        <v/>
      </c>
      <c r="AB77" s="198" t="str">
        <f>IFERROR(INDEX(Расходка[Наименование расходного материала],MATCH(Расходка[[#This Row],[№]],Поиск_расходки[Индекс11],0)),"")</f>
        <v/>
      </c>
      <c r="AC77" s="198" t="str">
        <f>IFERROR(INDEX(Расходка[Наименование расходного материала],MATCH(Расходка[[#This Row],[№]],Поиск_расходки[Индекс12],0)),"")</f>
        <v/>
      </c>
      <c r="AD77" s="198" t="str">
        <f>IFERROR(INDEX(Расходка[Наименование расходного материала],MATCH(Расходка[[#This Row],[№]],Поиск_расходки[Индекс13],0)),"")</f>
        <v/>
      </c>
      <c r="AF77" s="4" t="s">
        <v>6</v>
      </c>
      <c r="AG77" s="4" t="s">
        <v>468</v>
      </c>
    </row>
    <row r="78" spans="1:33">
      <c r="E78" s="197">
        <f>IF(ISNUMBER(SEARCH('Карта учёта'!$B$13,Расходка[[#This Row],[Наименование расходного материала]])),MAX($E$1:E77)+1,0)</f>
        <v>0</v>
      </c>
      <c r="F78" s="197">
        <f>IF(ISNUMBER(SEARCH('Карта учёта'!$B$14,Расходка[[#This Row],[Наименование расходного материала]])),MAX($F$1:F77)+1,0)</f>
        <v>0</v>
      </c>
      <c r="G78" s="197">
        <f>IF(ISNUMBER(SEARCH('Карта учёта'!$B$15,Расходка[[#This Row],[Наименование расходного материала]])),MAX($G$1:G77)+1,0)</f>
        <v>0</v>
      </c>
      <c r="H78" s="197">
        <f>IF(ISNUMBER(SEARCH('Карта учёта'!$B$16,Расходка[[#This Row],[Наименование расходного материала]])),MAX($H$1:H77)+1,0)</f>
        <v>0</v>
      </c>
      <c r="I78" s="197">
        <f>IF(ISNUMBER(SEARCH('Карта учёта'!$B$17,Расходка[[#This Row],[Наименование расходного материала]])),MAX($I$1:I77)+1,0)</f>
        <v>0</v>
      </c>
      <c r="J78" s="197">
        <f>IF(ISNUMBER(SEARCH('Карта учёта'!$B$18,Расходка[[#This Row],[Наименование расходного материала]])),MAX($J$1:J77)+1,0)</f>
        <v>0</v>
      </c>
      <c r="K78" s="197">
        <f>IF(ISNUMBER(SEARCH('Карта учёта'!$B$19,Расходка[[#This Row],[Наименование расходного материала]])),MAX($K$1:K77)+1,0)</f>
        <v>0</v>
      </c>
      <c r="L78" s="197">
        <f>IF(ISNUMBER(SEARCH('Карта учёта'!$B$20,Расходка[[#This Row],[Наименование расходного материала]])),MAX($L$1:L77)+1,0)</f>
        <v>0</v>
      </c>
      <c r="M78" s="197">
        <f>IF(ISNUMBER(SEARCH('Карта учёта'!$B$21,Расходка[[#This Row],[Наименование расходного материала]])),MAX($M$1:M77)+1,0)</f>
        <v>0</v>
      </c>
      <c r="N78" s="197">
        <f>IF(ISNUMBER(SEARCH('Карта учёта'!$B$22,Расходка[[#This Row],[Наименование расходного материала]])),MAX($N$1:N77)+1,0)</f>
        <v>0</v>
      </c>
      <c r="O78" s="197">
        <f>IF(ISNUMBER(SEARCH('Карта учёта'!$B$23,Расходка[[#This Row],[Наименование расходного материала]])),MAX($O$1:O77)+1,0)</f>
        <v>0</v>
      </c>
      <c r="P78" s="197">
        <f>IF(ISNUMBER(SEARCH('Карта учёта'!$B$24,Расходка[[#This Row],[Наименование расходного материала]])),MAX($P$1:P77)+1,0)</f>
        <v>0</v>
      </c>
      <c r="Q78" s="197">
        <f>IF(ISNUMBER(SEARCH('Карта учёта'!$B$25,Расходка[[#This Row],[Наименование расходного материала]])),MAX($Q$1:Q77)+1,0)</f>
        <v>0</v>
      </c>
      <c r="R78" s="198" t="str">
        <f>IFERROR(INDEX(Расходка[Наименование расходного материала],MATCH(Расходка[[#This Row],[№]],Поиск_расходки[Индекс1],0)),"")</f>
        <v/>
      </c>
      <c r="S78" s="198" t="str">
        <f>IFERROR(INDEX(Расходка[Наименование расходного материала],MATCH(Расходка[[#This Row],[№]],Поиск_расходки[Индекс2],0)),"")</f>
        <v/>
      </c>
      <c r="T78" s="198" t="str">
        <f>IFERROR(INDEX(Расходка[Наименование расходного материала],MATCH(Расходка[[#This Row],[№]],Поиск_расходки[Индекс3],0)),"")</f>
        <v/>
      </c>
      <c r="U78" s="198" t="str">
        <f>IFERROR(INDEX(Расходка[Наименование расходного материала],MATCH(Расходка[[#This Row],[№]],Поиск_расходки[Индекс4],0)),"")</f>
        <v/>
      </c>
      <c r="V78" s="198" t="str">
        <f>IFERROR(INDEX(Расходка[Наименование расходного материала],MATCH(Расходка[[#This Row],[№]],Поиск_расходки[Индекс5],0)),"")</f>
        <v/>
      </c>
      <c r="W78" s="198" t="str">
        <f>IFERROR(INDEX(Расходка[Наименование расходного материала],MATCH(Расходка[[#This Row],[№]],Поиск_расходки[Индекс6],0)),"")</f>
        <v/>
      </c>
      <c r="X78" s="198" t="str">
        <f>IFERROR(INDEX(Расходка[Наименование расходного материала],MATCH(Расходка[[#This Row],[№]],Поиск_расходки[Индекс7],0)),"")</f>
        <v/>
      </c>
      <c r="Y78" s="198" t="str">
        <f>IFERROR(INDEX(Расходка[Наименование расходного материала],MATCH(Расходка[[#This Row],[№]],Поиск_расходки[Индекс8],0)),"")</f>
        <v/>
      </c>
      <c r="Z78" s="198" t="str">
        <f>IFERROR(INDEX(Расходка[Наименование расходного материала],MATCH(Расходка[[#This Row],[№]],Поиск_расходки[Индекс9],0)),"")</f>
        <v/>
      </c>
      <c r="AA78" s="198" t="str">
        <f>IFERROR(INDEX(Расходка[Наименование расходного материала],MATCH(Расходка[[#This Row],[№]],Поиск_расходки[Индекс10],0)),"")</f>
        <v/>
      </c>
      <c r="AB78" s="198" t="str">
        <f>IFERROR(INDEX(Расходка[Наименование расходного материала],MATCH(Расходка[[#This Row],[№]],Поиск_расходки[Индекс11],0)),"")</f>
        <v/>
      </c>
      <c r="AC78" s="198" t="str">
        <f>IFERROR(INDEX(Расходка[Наименование расходного материала],MATCH(Расходка[[#This Row],[№]],Поиск_расходки[Индекс12],0)),"")</f>
        <v/>
      </c>
      <c r="AD78" s="198" t="str">
        <f>IFERROR(INDEX(Расходка[Наименование расходного материала],MATCH(Расходка[[#This Row],[№]],Поиск_расходки[Индекс13],0)),"")</f>
        <v/>
      </c>
      <c r="AF78" s="4" t="s">
        <v>6</v>
      </c>
      <c r="AG78" s="4" t="s">
        <v>469</v>
      </c>
    </row>
    <row r="79" spans="1:33">
      <c r="AF79" s="4" t="s">
        <v>6</v>
      </c>
      <c r="AG79" s="4" t="s">
        <v>470</v>
      </c>
    </row>
    <row r="80" spans="1:33">
      <c r="AF80" s="4" t="s">
        <v>6</v>
      </c>
      <c r="AG80" s="4" t="s">
        <v>471</v>
      </c>
    </row>
    <row r="81" spans="32:33">
      <c r="AF81" s="4" t="s">
        <v>6</v>
      </c>
      <c r="AG81" s="4" t="s">
        <v>472</v>
      </c>
    </row>
    <row r="82" spans="32:33">
      <c r="AF82" s="4" t="s">
        <v>6</v>
      </c>
      <c r="AG82" s="4" t="s">
        <v>473</v>
      </c>
    </row>
    <row r="83" spans="32:33">
      <c r="AF83" s="4" t="s">
        <v>6</v>
      </c>
      <c r="AG83" s="4" t="s">
        <v>474</v>
      </c>
    </row>
    <row r="84" spans="32:33">
      <c r="AF84" s="4" t="s">
        <v>6</v>
      </c>
      <c r="AG84" s="4" t="s">
        <v>425</v>
      </c>
    </row>
    <row r="85" spans="32:33">
      <c r="AF85" s="4" t="s">
        <v>6</v>
      </c>
      <c r="AG85" s="4" t="s">
        <v>426</v>
      </c>
    </row>
    <row r="86" spans="32:33">
      <c r="AF86" s="4" t="s">
        <v>6</v>
      </c>
      <c r="AG86" s="4" t="s">
        <v>475</v>
      </c>
    </row>
    <row r="87" spans="32:33">
      <c r="AF87" s="4" t="s">
        <v>6</v>
      </c>
      <c r="AG87" s="4" t="s">
        <v>476</v>
      </c>
    </row>
    <row r="88" spans="32:33">
      <c r="AF88" s="4" t="s">
        <v>6</v>
      </c>
      <c r="AG88" s="4" t="s">
        <v>477</v>
      </c>
    </row>
    <row r="89" spans="32:33">
      <c r="AF89" s="4" t="s">
        <v>6</v>
      </c>
      <c r="AG89" s="4" t="s">
        <v>478</v>
      </c>
    </row>
    <row r="90" spans="32:33">
      <c r="AF90" s="4" t="s">
        <v>6</v>
      </c>
      <c r="AG90" s="4" t="s">
        <v>479</v>
      </c>
    </row>
    <row r="91" spans="32:33">
      <c r="AF91" s="4" t="s">
        <v>6</v>
      </c>
      <c r="AG91" s="4" t="s">
        <v>480</v>
      </c>
    </row>
    <row r="92" spans="32:33">
      <c r="AF92" s="4" t="s">
        <v>6</v>
      </c>
      <c r="AG92" s="4" t="s">
        <v>481</v>
      </c>
    </row>
    <row r="93" spans="32:33">
      <c r="AF93" s="4" t="s">
        <v>6</v>
      </c>
      <c r="AG93" s="4" t="s">
        <v>482</v>
      </c>
    </row>
    <row r="94" spans="32:33">
      <c r="AF94" s="4" t="s">
        <v>6</v>
      </c>
      <c r="AG94" s="4" t="s">
        <v>429</v>
      </c>
    </row>
    <row r="95" spans="32:33">
      <c r="AF95" s="4" t="s">
        <v>6</v>
      </c>
      <c r="AG95" s="4" t="s">
        <v>430</v>
      </c>
    </row>
    <row r="96" spans="32:33">
      <c r="AF96" s="4" t="s">
        <v>6</v>
      </c>
      <c r="AG96" s="4" t="s">
        <v>483</v>
      </c>
    </row>
    <row r="97" spans="32:33">
      <c r="AF97" s="4" t="s">
        <v>6</v>
      </c>
      <c r="AG97" s="4" t="s">
        <v>484</v>
      </c>
    </row>
  </sheetData>
  <sheetProtection sheet="1" objects="1" scenarios="1" formatCells="0" formatColumns="0"/>
  <phoneticPr fontId="14" type="noConversion"/>
  <dataValidations count="1">
    <dataValidation type="list" allowBlank="1" showInputMessage="1" showErrorMessage="1" sqref="B2:B7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90" zoomScaleNormal="90" workbookViewId="0">
      <selection activeCell="A12" sqref="A12:A1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516</v>
      </c>
      <c r="C15" s="202" t="str">
        <f>CONCATENATE(A15,B15)</f>
        <v>Старшая мед.сетра: Н.Б. Шишкина</v>
      </c>
    </row>
    <row r="16" spans="1:5">
      <c r="A16" t="s">
        <v>120</v>
      </c>
      <c r="B16" t="s">
        <v>122</v>
      </c>
      <c r="C16" t="str">
        <f>CONCATENATE(A16,B16)</f>
        <v>Старшая мед.сетра: О.Н. Черткова</v>
      </c>
    </row>
    <row r="17" spans="1:3">
      <c r="A17" t="s">
        <v>123</v>
      </c>
      <c r="B17" t="s">
        <v>350</v>
      </c>
      <c r="C17" t="str">
        <f t="shared" si="0"/>
        <v xml:space="preserve">И/О старшей мед.сетры: А.А. Нефёдова </v>
      </c>
    </row>
    <row r="18" spans="1:3">
      <c r="A18" t="s">
        <v>123</v>
      </c>
      <c r="B18" t="s">
        <v>349</v>
      </c>
      <c r="C18" t="str">
        <f>CONCATENATE(A18,B18)</f>
        <v>И/О старшей мед.сетры: А.М. Казанцева</v>
      </c>
    </row>
    <row r="19" spans="1:3">
      <c r="C19" s="202"/>
    </row>
    <row r="20" spans="1:3">
      <c r="C20" s="202"/>
    </row>
    <row r="21" spans="1:3">
      <c r="A21" t="s">
        <v>175</v>
      </c>
      <c r="B21" t="s">
        <v>174</v>
      </c>
    </row>
    <row r="22" spans="1:3">
      <c r="A22" t="s">
        <v>170</v>
      </c>
      <c r="B22" t="s">
        <v>267</v>
      </c>
    </row>
    <row r="23" spans="1:3">
      <c r="A23" t="s">
        <v>170</v>
      </c>
      <c r="B23" t="s">
        <v>176</v>
      </c>
    </row>
    <row r="24" spans="1:3">
      <c r="A24" t="s">
        <v>170</v>
      </c>
      <c r="B24" t="s">
        <v>304</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302</v>
      </c>
    </row>
    <row r="31" spans="1:3">
      <c r="A31" t="s">
        <v>170</v>
      </c>
      <c r="B31" t="s">
        <v>254</v>
      </c>
    </row>
    <row r="32" spans="1:3">
      <c r="A32" t="s">
        <v>170</v>
      </c>
      <c r="B32" t="s">
        <v>270</v>
      </c>
    </row>
    <row r="33" spans="1:2">
      <c r="A33" t="s">
        <v>170</v>
      </c>
      <c r="B33" t="s">
        <v>353</v>
      </c>
    </row>
    <row r="34" spans="1:2">
      <c r="A34" t="s">
        <v>170</v>
      </c>
      <c r="B34" t="s">
        <v>263</v>
      </c>
    </row>
    <row r="35" spans="1:2">
      <c r="A35" t="s">
        <v>170</v>
      </c>
      <c r="B35" t="s">
        <v>249</v>
      </c>
    </row>
    <row r="36" spans="1:2">
      <c r="A36" t="s">
        <v>170</v>
      </c>
      <c r="B36" t="s">
        <v>253</v>
      </c>
    </row>
    <row r="37" spans="1:2">
      <c r="A37" t="s">
        <v>170</v>
      </c>
      <c r="B37" t="s">
        <v>248</v>
      </c>
    </row>
    <row r="38" spans="1:2">
      <c r="A38" t="s">
        <v>170</v>
      </c>
      <c r="B38" t="s">
        <v>364</v>
      </c>
    </row>
    <row r="39" spans="1:2">
      <c r="A39" t="s">
        <v>170</v>
      </c>
      <c r="B39" t="s">
        <v>507</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303</v>
      </c>
      <c r="B45" t="s">
        <v>260</v>
      </c>
    </row>
    <row r="46" spans="1:2">
      <c r="A46" t="s">
        <v>303</v>
      </c>
      <c r="B46" t="s">
        <v>261</v>
      </c>
    </row>
    <row r="47" spans="1:2">
      <c r="A47" t="s">
        <v>303</v>
      </c>
      <c r="B47" t="s">
        <v>262</v>
      </c>
    </row>
    <row r="48" spans="1:2">
      <c r="A48" t="s">
        <v>303</v>
      </c>
      <c r="B48" t="s">
        <v>178</v>
      </c>
    </row>
    <row r="49" spans="1:2">
      <c r="A49" t="s">
        <v>303</v>
      </c>
      <c r="B49" t="s">
        <v>258</v>
      </c>
    </row>
    <row r="50" spans="1:2">
      <c r="A50" t="s">
        <v>303</v>
      </c>
      <c r="B50" t="s">
        <v>269</v>
      </c>
    </row>
    <row r="51" spans="1:2">
      <c r="A51" t="s">
        <v>303</v>
      </c>
      <c r="B51" t="s">
        <v>177</v>
      </c>
    </row>
    <row r="52" spans="1:2">
      <c r="A52" t="s">
        <v>303</v>
      </c>
      <c r="B52" t="s">
        <v>504</v>
      </c>
    </row>
    <row r="53" spans="1:2">
      <c r="A53" t="s">
        <v>303</v>
      </c>
      <c r="B53" t="s">
        <v>259</v>
      </c>
    </row>
    <row r="54" spans="1:2">
      <c r="A54" t="s">
        <v>303</v>
      </c>
      <c r="B54" t="s">
        <v>369</v>
      </c>
    </row>
    <row r="55" spans="1:2">
      <c r="A55" t="s">
        <v>303</v>
      </c>
      <c r="B55" t="s">
        <v>365</v>
      </c>
    </row>
    <row r="56" spans="1:2">
      <c r="A56" t="s">
        <v>171</v>
      </c>
      <c r="B56" t="s">
        <v>144</v>
      </c>
    </row>
    <row r="57" spans="1:2">
      <c r="A57" t="s">
        <v>171</v>
      </c>
      <c r="B57" t="s">
        <v>147</v>
      </c>
    </row>
    <row r="58" spans="1:2">
      <c r="A58" t="s">
        <v>171</v>
      </c>
      <c r="B58" t="s">
        <v>150</v>
      </c>
    </row>
    <row r="59" spans="1:2">
      <c r="A59" t="s">
        <v>171</v>
      </c>
      <c r="B59" t="s">
        <v>153</v>
      </c>
    </row>
    <row r="60" spans="1:2">
      <c r="A60" t="s">
        <v>171</v>
      </c>
      <c r="B60" t="s">
        <v>156</v>
      </c>
    </row>
    <row r="61" spans="1:2">
      <c r="A61" t="s">
        <v>171</v>
      </c>
      <c r="B61" t="s">
        <v>159</v>
      </c>
    </row>
    <row r="62" spans="1:2">
      <c r="A62" t="s">
        <v>171</v>
      </c>
      <c r="B62" t="s">
        <v>164</v>
      </c>
    </row>
    <row r="63" spans="1:2">
      <c r="A63" t="s">
        <v>171</v>
      </c>
      <c r="B63" t="s">
        <v>275</v>
      </c>
    </row>
    <row r="64" spans="1:2">
      <c r="A64" t="s">
        <v>171</v>
      </c>
      <c r="B64" t="s">
        <v>166</v>
      </c>
    </row>
    <row r="65" spans="1:2">
      <c r="A65" t="s">
        <v>171</v>
      </c>
      <c r="B65" t="s">
        <v>167</v>
      </c>
    </row>
    <row r="66" spans="1:2">
      <c r="A66" t="s">
        <v>171</v>
      </c>
      <c r="B66" t="s">
        <v>168</v>
      </c>
    </row>
    <row r="67" spans="1:2">
      <c r="A67" t="s">
        <v>171</v>
      </c>
      <c r="B67" t="s">
        <v>169</v>
      </c>
    </row>
    <row r="68" spans="1:2">
      <c r="A68" t="s">
        <v>171</v>
      </c>
      <c r="B68" t="s">
        <v>141</v>
      </c>
    </row>
    <row r="69" spans="1:2">
      <c r="A69" t="s">
        <v>171</v>
      </c>
      <c r="B69" t="s">
        <v>185</v>
      </c>
    </row>
    <row r="70" spans="1:2">
      <c r="A70" t="s">
        <v>172</v>
      </c>
      <c r="B70" t="s">
        <v>342</v>
      </c>
    </row>
    <row r="71" spans="1:2">
      <c r="A71" t="s">
        <v>172</v>
      </c>
      <c r="B71" t="s">
        <v>143</v>
      </c>
    </row>
    <row r="72" spans="1:2">
      <c r="A72" t="s">
        <v>172</v>
      </c>
      <c r="B72" t="s">
        <v>367</v>
      </c>
    </row>
    <row r="73" spans="1:2">
      <c r="A73" t="s">
        <v>172</v>
      </c>
      <c r="B73" t="s">
        <v>146</v>
      </c>
    </row>
    <row r="74" spans="1:2">
      <c r="A74" t="s">
        <v>172</v>
      </c>
      <c r="B74" t="s">
        <v>140</v>
      </c>
    </row>
    <row r="75" spans="1:2">
      <c r="A75" t="s">
        <v>172</v>
      </c>
      <c r="B75" t="s">
        <v>149</v>
      </c>
    </row>
    <row r="76" spans="1:2">
      <c r="A76" t="s">
        <v>172</v>
      </c>
      <c r="B76" t="s">
        <v>152</v>
      </c>
    </row>
    <row r="77" spans="1:2">
      <c r="A77" t="s">
        <v>172</v>
      </c>
      <c r="B77" t="s">
        <v>155</v>
      </c>
    </row>
    <row r="78" spans="1:2">
      <c r="A78" t="s">
        <v>172</v>
      </c>
      <c r="B78" t="s">
        <v>158</v>
      </c>
    </row>
    <row r="79" spans="1:2">
      <c r="A79" t="s">
        <v>172</v>
      </c>
      <c r="B79" t="s">
        <v>161</v>
      </c>
    </row>
    <row r="80" spans="1:2">
      <c r="A80" t="s">
        <v>172</v>
      </c>
      <c r="B80" t="s">
        <v>163</v>
      </c>
    </row>
    <row r="81" spans="1:2">
      <c r="A81" t="s">
        <v>184</v>
      </c>
      <c r="B81" t="s">
        <v>142</v>
      </c>
    </row>
    <row r="82" spans="1:2">
      <c r="A82" t="s">
        <v>184</v>
      </c>
      <c r="B82" t="s">
        <v>274</v>
      </c>
    </row>
    <row r="83" spans="1:2">
      <c r="A83" t="s">
        <v>184</v>
      </c>
      <c r="B83" t="s">
        <v>145</v>
      </c>
    </row>
    <row r="84" spans="1:2">
      <c r="A84" t="s">
        <v>184</v>
      </c>
      <c r="B84" t="s">
        <v>148</v>
      </c>
    </row>
    <row r="85" spans="1:2">
      <c r="A85" t="s">
        <v>184</v>
      </c>
      <c r="B85" t="s">
        <v>151</v>
      </c>
    </row>
    <row r="86" spans="1:2">
      <c r="A86" t="s">
        <v>184</v>
      </c>
      <c r="B86" t="s">
        <v>154</v>
      </c>
    </row>
    <row r="87" spans="1:2">
      <c r="A87" t="s">
        <v>184</v>
      </c>
      <c r="B87" t="s">
        <v>160</v>
      </c>
    </row>
    <row r="88" spans="1:2">
      <c r="A88" t="s">
        <v>184</v>
      </c>
      <c r="B88" t="s">
        <v>157</v>
      </c>
    </row>
    <row r="89" spans="1:2">
      <c r="A89" t="s">
        <v>184</v>
      </c>
      <c r="B89" t="s">
        <v>162</v>
      </c>
    </row>
    <row r="90" spans="1:2">
      <c r="A90" t="s">
        <v>184</v>
      </c>
      <c r="B90" t="s">
        <v>165</v>
      </c>
    </row>
  </sheetData>
  <sheetProtection sheet="1" objects="1" scenarios="1"/>
  <phoneticPr fontId="14" type="noConversion"/>
  <dataValidations count="1">
    <dataValidation type="list" allowBlank="1" showInputMessage="1" showErrorMessage="1" sqref="A22:A9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1" t="s">
        <v>382</v>
      </c>
    </row>
    <row r="2" spans="1:1">
      <c r="A2" t="s">
        <v>379</v>
      </c>
    </row>
    <row r="3" spans="1:1">
      <c r="A3" t="s">
        <v>383</v>
      </c>
    </row>
    <row r="4" spans="1:1">
      <c r="A4" t="s">
        <v>384</v>
      </c>
    </row>
    <row r="5" spans="1:1">
      <c r="A5" t="s">
        <v>380</v>
      </c>
    </row>
    <row r="6" spans="1:1">
      <c r="A6" t="s">
        <v>381</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3</vt:i4>
      </vt:variant>
    </vt:vector>
  </HeadingPairs>
  <TitlesOfParts>
    <vt:vector size="11"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lpstr>ЧКВ!Область_печати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2024-10-09T17:46:44Z</cp:lastPrinted>
  <dcterms:created xsi:type="dcterms:W3CDTF">2015-06-05T18:19:34Z</dcterms:created>
  <dcterms:modified xsi:type="dcterms:W3CDTF">2024-10-09T17:47:25Z</dcterms:modified>
</cp:coreProperties>
</file>