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10\"/>
    </mc:Choice>
  </mc:AlternateContent>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A16" i="3" l="1"/>
  <c r="A17" i="3"/>
  <c r="A1" i="11" l="1"/>
  <c r="A3" i="11"/>
  <c r="A18" i="3" l="1"/>
  <c r="C15" i="5" l="1"/>
  <c r="B15" i="9" l="1"/>
  <c r="E71" i="1" l="1"/>
  <c r="E72" i="1"/>
  <c r="E73" i="1"/>
  <c r="E74" i="1"/>
  <c r="E75" i="1"/>
  <c r="E76" i="1"/>
  <c r="E77" i="1"/>
  <c r="E78" i="1"/>
  <c r="F76" i="1"/>
  <c r="F77" i="1"/>
  <c r="F78" i="1"/>
  <c r="G77" i="1"/>
  <c r="G78" i="1"/>
  <c r="H77" i="1"/>
  <c r="H78" i="1"/>
  <c r="I77" i="1"/>
  <c r="I78" i="1"/>
  <c r="J77" i="1"/>
  <c r="J78" i="1"/>
  <c r="K77" i="1"/>
  <c r="K78" i="1"/>
  <c r="L77" i="1"/>
  <c r="L78" i="1"/>
  <c r="M77" i="1"/>
  <c r="M78" i="1"/>
  <c r="N77" i="1"/>
  <c r="N78" i="1"/>
  <c r="O77" i="1"/>
  <c r="O78" i="1"/>
  <c r="P77" i="1"/>
  <c r="P78" i="1"/>
  <c r="Q77" i="1"/>
  <c r="Q78" i="1"/>
  <c r="R77" i="1"/>
  <c r="R78" i="1"/>
  <c r="S77" i="1"/>
  <c r="S78" i="1"/>
  <c r="T77" i="1"/>
  <c r="T78" i="1"/>
  <c r="U77" i="1"/>
  <c r="U78" i="1"/>
  <c r="V77" i="1"/>
  <c r="V78" i="1"/>
  <c r="W77" i="1"/>
  <c r="W78" i="1"/>
  <c r="X77" i="1"/>
  <c r="X78" i="1"/>
  <c r="Y77" i="1"/>
  <c r="Y78" i="1"/>
  <c r="Z77" i="1"/>
  <c r="Z78" i="1"/>
  <c r="AA77" i="1"/>
  <c r="AA78" i="1"/>
  <c r="AB77" i="1"/>
  <c r="AB78" i="1"/>
  <c r="AC77" i="1"/>
  <c r="AC78"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P10" i="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5" i="1" l="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D75" i="1" l="1"/>
  <c r="Q76" i="1"/>
  <c r="AD76" i="1" s="1"/>
  <c r="AB74" i="1"/>
  <c r="O75" i="1"/>
  <c r="AB73" i="1"/>
  <c r="P26" i="1"/>
  <c r="AC25" i="1"/>
  <c r="H65" i="1"/>
  <c r="J67" i="1"/>
  <c r="W2" i="1"/>
  <c r="I54" i="1"/>
  <c r="I55" i="1" s="1"/>
  <c r="I56" i="1" s="1"/>
  <c r="I57" i="1" s="1"/>
  <c r="I58" i="1" s="1"/>
  <c r="I59" i="1" s="1"/>
  <c r="I60" i="1" s="1"/>
  <c r="I61" i="1" s="1"/>
  <c r="I62" i="1" s="1"/>
  <c r="F51" i="1"/>
  <c r="G47" i="1"/>
  <c r="K47" i="1"/>
  <c r="L35" i="1"/>
  <c r="M34" i="1"/>
  <c r="AB31" i="1"/>
  <c r="N32" i="1"/>
  <c r="N33" i="1" s="1"/>
  <c r="AB29" i="1"/>
  <c r="AB75" i="1" l="1"/>
  <c r="O76" i="1"/>
  <c r="AB76" i="1" s="1"/>
  <c r="P27" i="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V2" i="1" l="1"/>
  <c r="P30" i="1"/>
  <c r="AC29" i="1"/>
  <c r="H73" i="1"/>
  <c r="J71" i="1"/>
  <c r="I71" i="1"/>
  <c r="F70" i="1"/>
  <c r="F71" i="1" s="1"/>
  <c r="F72" i="1" s="1"/>
  <c r="F73" i="1" s="1"/>
  <c r="S2" i="1"/>
  <c r="K52" i="1"/>
  <c r="K53" i="1" s="1"/>
  <c r="G51" i="1"/>
  <c r="AD39" i="1"/>
  <c r="AC23" i="1"/>
  <c r="AB46" i="1"/>
  <c r="N45" i="1"/>
  <c r="L40" i="1"/>
  <c r="M38" i="1"/>
  <c r="M39" i="1" s="1"/>
  <c r="M40" i="1" s="1"/>
  <c r="H74" i="1" l="1"/>
  <c r="F74" i="1"/>
  <c r="P31" i="1"/>
  <c r="AC31" i="1" s="1"/>
  <c r="AC30"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75" i="1" l="1"/>
  <c r="S48" i="1" s="1"/>
  <c r="S45" i="1"/>
  <c r="H75" i="1"/>
  <c r="H76" i="1" s="1"/>
  <c r="S49" i="1"/>
  <c r="S57" i="1"/>
  <c r="P32" i="1"/>
  <c r="AC32" i="1" s="1"/>
  <c r="J73" i="1"/>
  <c r="I73" i="1"/>
  <c r="K67" i="1"/>
  <c r="G53" i="1"/>
  <c r="N49" i="1"/>
  <c r="N50" i="1" s="1"/>
  <c r="AB35" i="1"/>
  <c r="AC28" i="1"/>
  <c r="AD22" i="1"/>
  <c r="AB44" i="1"/>
  <c r="AB48" i="1"/>
  <c r="M42" i="1"/>
  <c r="L42" i="1"/>
  <c r="S5" i="1"/>
  <c r="S37" i="1"/>
  <c r="S19" i="1"/>
  <c r="S27" i="1"/>
  <c r="S23" i="1"/>
  <c r="S14" i="1"/>
  <c r="S7" i="1"/>
  <c r="S22" i="1"/>
  <c r="S38" i="1"/>
  <c r="S34" i="1"/>
  <c r="S16" i="1"/>
  <c r="S26" i="1"/>
  <c r="S9" i="1"/>
  <c r="S24" i="1"/>
  <c r="S18" i="1"/>
  <c r="S17" i="1"/>
  <c r="S33" i="1"/>
  <c r="S32" i="1"/>
  <c r="S43" i="1" l="1"/>
  <c r="S62" i="1"/>
  <c r="S75" i="1"/>
  <c r="S64" i="1"/>
  <c r="S70" i="1"/>
  <c r="S39" i="1"/>
  <c r="S50" i="1"/>
  <c r="S46" i="1"/>
  <c r="S68" i="1"/>
  <c r="U65" i="1"/>
  <c r="U76" i="1"/>
  <c r="S51" i="1"/>
  <c r="S52" i="1"/>
  <c r="S66" i="1"/>
  <c r="S76" i="1"/>
  <c r="U2" i="1"/>
  <c r="S44" i="1"/>
  <c r="S67" i="1"/>
  <c r="S28" i="1"/>
  <c r="S30" i="1"/>
  <c r="S20" i="1"/>
  <c r="S10" i="1"/>
  <c r="S15" i="1"/>
  <c r="S29" i="1"/>
  <c r="S13" i="1"/>
  <c r="S8" i="1"/>
  <c r="S36" i="1"/>
  <c r="S31" i="1"/>
  <c r="S25" i="1"/>
  <c r="S12" i="1"/>
  <c r="S21" i="1"/>
  <c r="S11" i="1"/>
  <c r="S6" i="1"/>
  <c r="S35" i="1"/>
  <c r="S3" i="1"/>
  <c r="S4" i="1"/>
  <c r="S73" i="1"/>
  <c r="S59" i="1"/>
  <c r="S58" i="1"/>
  <c r="S42" i="1"/>
  <c r="S69" i="1"/>
  <c r="S40" i="1"/>
  <c r="S63" i="1"/>
  <c r="S53" i="1"/>
  <c r="S54" i="1"/>
  <c r="S74" i="1"/>
  <c r="S60" i="1"/>
  <c r="S47" i="1"/>
  <c r="S41" i="1"/>
  <c r="S65" i="1"/>
  <c r="S72" i="1"/>
  <c r="S61" i="1"/>
  <c r="S71" i="1"/>
  <c r="S55" i="1"/>
  <c r="S56" i="1"/>
  <c r="U53" i="1"/>
  <c r="U50" i="1"/>
  <c r="U48" i="1"/>
  <c r="U62" i="1"/>
  <c r="U43" i="1"/>
  <c r="U67" i="1"/>
  <c r="U71" i="1"/>
  <c r="U49" i="1"/>
  <c r="U74" i="1"/>
  <c r="U63" i="1"/>
  <c r="U75" i="1"/>
  <c r="U68" i="1"/>
  <c r="U58" i="1"/>
  <c r="U41" i="1"/>
  <c r="U39" i="1"/>
  <c r="U60" i="1"/>
  <c r="U54" i="1"/>
  <c r="U61" i="1"/>
  <c r="U45" i="1"/>
  <c r="U42" i="1"/>
  <c r="U69" i="1"/>
  <c r="U52" i="1"/>
  <c r="U70" i="1"/>
  <c r="U73" i="1"/>
  <c r="U59" i="1"/>
  <c r="U44" i="1"/>
  <c r="U51" i="1"/>
  <c r="U40" i="1"/>
  <c r="U56" i="1"/>
  <c r="U47" i="1"/>
  <c r="U46" i="1"/>
  <c r="U55" i="1"/>
  <c r="U64" i="1"/>
  <c r="U57" i="1"/>
  <c r="U66" i="1"/>
  <c r="U72" i="1"/>
  <c r="J74" i="1"/>
  <c r="I74" i="1"/>
  <c r="P33" i="1"/>
  <c r="AC33" i="1" s="1"/>
  <c r="K68" i="1"/>
  <c r="G54" i="1"/>
  <c r="R2" i="1"/>
  <c r="N51" i="1"/>
  <c r="N52" i="1" s="1"/>
  <c r="N53" i="1" s="1"/>
  <c r="N54" i="1" s="1"/>
  <c r="N55" i="1" s="1"/>
  <c r="AB45" i="1"/>
  <c r="AC11" i="1"/>
  <c r="AC27" i="1"/>
  <c r="AC10" i="1"/>
  <c r="AC8" i="1"/>
  <c r="AC24" i="1"/>
  <c r="AC9" i="1"/>
  <c r="AC12" i="1"/>
  <c r="M43" i="1"/>
  <c r="L43" i="1"/>
  <c r="J75" i="1" l="1"/>
  <c r="I75"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V76" i="1" s="1"/>
  <c r="J76" i="1"/>
  <c r="W75" i="1" s="1"/>
  <c r="W56" i="1"/>
  <c r="W44" i="1"/>
  <c r="W41" i="1"/>
  <c r="W68" i="1"/>
  <c r="W55" i="1"/>
  <c r="W70" i="1"/>
  <c r="W64" i="1"/>
  <c r="W57" i="1"/>
  <c r="W39" i="1"/>
  <c r="V58" i="1"/>
  <c r="W50" i="1"/>
  <c r="W71" i="1"/>
  <c r="W48" i="1"/>
  <c r="V52" i="1"/>
  <c r="V63" i="1"/>
  <c r="V49" i="1"/>
  <c r="V43" i="1"/>
  <c r="V45" i="1"/>
  <c r="V44" i="1"/>
  <c r="V59" i="1"/>
  <c r="V69" i="1"/>
  <c r="V75" i="1"/>
  <c r="V60" i="1"/>
  <c r="V41"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W42" i="1" l="1"/>
  <c r="W69" i="1"/>
  <c r="W47" i="1"/>
  <c r="W46" i="1"/>
  <c r="W53" i="1"/>
  <c r="W54" i="1"/>
  <c r="W65" i="1"/>
  <c r="W45" i="1"/>
  <c r="W40" i="1"/>
  <c r="W58" i="1"/>
  <c r="W61" i="1"/>
  <c r="V66" i="1"/>
  <c r="V64" i="1"/>
  <c r="V61" i="1"/>
  <c r="V51" i="1"/>
  <c r="V71" i="1"/>
  <c r="V50" i="1"/>
  <c r="W76" i="1"/>
  <c r="W62" i="1"/>
  <c r="W52" i="1"/>
  <c r="W74" i="1"/>
  <c r="W73" i="1"/>
  <c r="W51" i="1"/>
  <c r="W72" i="1"/>
  <c r="W43" i="1"/>
  <c r="W66" i="1"/>
  <c r="W49" i="1"/>
  <c r="W67" i="1"/>
  <c r="W63" i="1"/>
  <c r="W60" i="1"/>
  <c r="W59" i="1"/>
  <c r="V56" i="1"/>
  <c r="V39" i="1"/>
  <c r="V53" i="1"/>
  <c r="V42" i="1"/>
  <c r="V48" i="1"/>
  <c r="V65" i="1"/>
  <c r="V72" i="1"/>
  <c r="V70" i="1"/>
  <c r="V54" i="1"/>
  <c r="V47" i="1"/>
  <c r="V46" i="1"/>
  <c r="V74" i="1"/>
  <c r="V67" i="1"/>
  <c r="V55" i="1"/>
  <c r="V68" i="1"/>
  <c r="V40" i="1"/>
  <c r="V57" i="1"/>
  <c r="V62" i="1"/>
  <c r="V73" i="1"/>
  <c r="P36" i="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X2" i="1"/>
  <c r="G62" i="1"/>
  <c r="G63" i="1" s="1"/>
  <c r="M51" i="1"/>
  <c r="M52" i="1" s="1"/>
  <c r="M53" i="1" s="1"/>
  <c r="L50" i="1"/>
  <c r="K75" i="1" l="1"/>
  <c r="P39" i="1"/>
  <c r="N69" i="1"/>
  <c r="G64" i="1"/>
  <c r="M54" i="1"/>
  <c r="M55" i="1" s="1"/>
  <c r="L51" i="1"/>
  <c r="L52" i="1" s="1"/>
  <c r="L53" i="1" s="1"/>
  <c r="K76" i="1" l="1"/>
  <c r="X5" i="1" s="1"/>
  <c r="X24" i="1"/>
  <c r="X54" i="1"/>
  <c r="X71" i="1"/>
  <c r="X4" i="1"/>
  <c r="X6" i="1"/>
  <c r="X9" i="1"/>
  <c r="X29" i="1"/>
  <c r="X3" i="1"/>
  <c r="X33" i="1"/>
  <c r="X20" i="1"/>
  <c r="X7" i="1"/>
  <c r="X40" i="1"/>
  <c r="X27" i="1"/>
  <c r="X28" i="1"/>
  <c r="X12" i="1"/>
  <c r="X51" i="1"/>
  <c r="X55" i="1"/>
  <c r="X75" i="1"/>
  <c r="X8" i="1"/>
  <c r="X22" i="1"/>
  <c r="X58" i="1"/>
  <c r="X62" i="1"/>
  <c r="X17" i="1"/>
  <c r="X70" i="1"/>
  <c r="X52" i="1"/>
  <c r="X69" i="1"/>
  <c r="X14" i="1"/>
  <c r="X36" i="1"/>
  <c r="X31" i="1"/>
  <c r="X64" i="1"/>
  <c r="X15" i="1"/>
  <c r="X49" i="1"/>
  <c r="X60" i="1"/>
  <c r="X19" i="1"/>
  <c r="X68" i="1"/>
  <c r="X61" i="1"/>
  <c r="X21" i="1"/>
  <c r="X63" i="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X46" i="1" l="1"/>
  <c r="X25" i="1"/>
  <c r="X57" i="1"/>
  <c r="X30" i="1"/>
  <c r="X35" i="1"/>
  <c r="X41" i="1"/>
  <c r="X39" i="1"/>
  <c r="X73" i="1"/>
  <c r="X59" i="1"/>
  <c r="X48" i="1"/>
  <c r="X13" i="1"/>
  <c r="X65" i="1"/>
  <c r="X11" i="1"/>
  <c r="X32" i="1"/>
  <c r="X56" i="1"/>
  <c r="X43" i="1"/>
  <c r="X38" i="1"/>
  <c r="X47" i="1"/>
  <c r="X50" i="1"/>
  <c r="X34" i="1"/>
  <c r="X23" i="1"/>
  <c r="X42" i="1"/>
  <c r="X66" i="1"/>
  <c r="X74" i="1"/>
  <c r="X16" i="1"/>
  <c r="X26" i="1"/>
  <c r="X44" i="1"/>
  <c r="X45" i="1"/>
  <c r="X10" i="1"/>
  <c r="X37" i="1"/>
  <c r="X72" i="1"/>
  <c r="X67" i="1"/>
  <c r="X18" i="1"/>
  <c r="X76" i="1"/>
  <c r="X53" i="1"/>
  <c r="AC45" i="1"/>
  <c r="AC44" i="1"/>
  <c r="AA2" i="1"/>
  <c r="AC54" i="1"/>
  <c r="AC52" i="1"/>
  <c r="AC68" i="1"/>
  <c r="P69" i="1"/>
  <c r="P70" i="1" s="1"/>
  <c r="P71" i="1" s="1"/>
  <c r="P72" i="1" s="1"/>
  <c r="P73" i="1" s="1"/>
  <c r="AC50" i="1"/>
  <c r="AC49" i="1"/>
  <c r="AC48" i="1"/>
  <c r="G73" i="1"/>
  <c r="T2" i="1" s="1"/>
  <c r="N71" i="1"/>
  <c r="M58" i="1"/>
  <c r="M59" i="1" s="1"/>
  <c r="M60" i="1" s="1"/>
  <c r="L55" i="1"/>
  <c r="L56" i="1" s="1"/>
  <c r="L57" i="1" s="1"/>
  <c r="L58" i="1" s="1"/>
  <c r="L59" i="1" s="1"/>
  <c r="L60" i="1" s="1"/>
  <c r="L61" i="1" s="1"/>
  <c r="L62" i="1" s="1"/>
  <c r="L63" i="1" s="1"/>
  <c r="L64" i="1" s="1"/>
  <c r="L65" i="1" s="1"/>
  <c r="L66" i="1" s="1"/>
  <c r="G74" i="1" l="1"/>
  <c r="G75" i="1" s="1"/>
  <c r="G76" i="1" s="1"/>
  <c r="AC73" i="1"/>
  <c r="P74" i="1"/>
  <c r="N72" i="1"/>
  <c r="N73" i="1" s="1"/>
  <c r="L67" i="1"/>
  <c r="M61" i="1"/>
  <c r="T75" i="1" l="1"/>
  <c r="T76" i="1"/>
  <c r="AC51" i="1"/>
  <c r="P75" i="1"/>
  <c r="T6" i="1"/>
  <c r="T3" i="1"/>
  <c r="T5" i="1"/>
  <c r="T4" i="1"/>
  <c r="T74" i="1"/>
  <c r="T73" i="1"/>
  <c r="T71" i="1"/>
  <c r="T34" i="1"/>
  <c r="T40" i="1"/>
  <c r="T58" i="1"/>
  <c r="T64" i="1"/>
  <c r="T47" i="1"/>
  <c r="T66" i="1"/>
  <c r="T49" i="1"/>
  <c r="T50" i="1"/>
  <c r="T17" i="1"/>
  <c r="T33" i="1"/>
  <c r="T44" i="1"/>
  <c r="T68" i="1"/>
  <c r="T48" i="1"/>
  <c r="T9" i="1"/>
  <c r="T46" i="1"/>
  <c r="T15" i="1"/>
  <c r="T65" i="1"/>
  <c r="T67" i="1"/>
  <c r="T24" i="1"/>
  <c r="T57" i="1"/>
  <c r="T36" i="1"/>
  <c r="T43" i="1"/>
  <c r="T51" i="1"/>
  <c r="T20" i="1"/>
  <c r="T60" i="1"/>
  <c r="T39" i="1"/>
  <c r="T8" i="1"/>
  <c r="T72" i="1"/>
  <c r="T13" i="1"/>
  <c r="T10" i="1"/>
  <c r="T7" i="1"/>
  <c r="T11" i="1"/>
  <c r="T37" i="1"/>
  <c r="T35" i="1"/>
  <c r="T23" i="1"/>
  <c r="T28" i="1"/>
  <c r="T53" i="1"/>
  <c r="T59" i="1"/>
  <c r="T27" i="1"/>
  <c r="T70" i="1"/>
  <c r="T52" i="1"/>
  <c r="T22" i="1"/>
  <c r="T14" i="1"/>
  <c r="T31" i="1"/>
  <c r="T29" i="1"/>
  <c r="T55" i="1"/>
  <c r="T56" i="1"/>
  <c r="T61" i="1"/>
  <c r="T12" i="1"/>
  <c r="T16" i="1"/>
  <c r="T30" i="1"/>
  <c r="T25" i="1"/>
  <c r="T26" i="1"/>
  <c r="T32" i="1"/>
  <c r="T63" i="1"/>
  <c r="T69" i="1"/>
  <c r="T54" i="1"/>
  <c r="T42" i="1"/>
  <c r="T45" i="1"/>
  <c r="T21" i="1"/>
  <c r="T19" i="1"/>
  <c r="T62" i="1"/>
  <c r="T18" i="1"/>
  <c r="T41"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Y2" i="1"/>
  <c r="AC75" i="1" l="1"/>
  <c r="P76" i="1"/>
  <c r="AC76" i="1" s="1"/>
  <c r="AA44" i="1"/>
  <c r="N75" i="1"/>
  <c r="AA3" i="1"/>
  <c r="AA58" i="1"/>
  <c r="AA72" i="1"/>
  <c r="AA73" i="1"/>
  <c r="AA21" i="1"/>
  <c r="AA27" i="1"/>
  <c r="AA10" i="1"/>
  <c r="AA22" i="1"/>
  <c r="AA13" i="1"/>
  <c r="AA6" i="1"/>
  <c r="AA43" i="1"/>
  <c r="AA31" i="1"/>
  <c r="AA30" i="1"/>
  <c r="AA59" i="1"/>
  <c r="AA14" i="1"/>
  <c r="AA23" i="1"/>
  <c r="AA54" i="1"/>
  <c r="AA65"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AC53" i="1" l="1"/>
  <c r="AA75" i="1"/>
  <c r="N76" i="1"/>
  <c r="L70" i="1"/>
  <c r="M67" i="1"/>
  <c r="AA76" i="1" l="1"/>
  <c r="AA53" i="1"/>
  <c r="L71" i="1"/>
  <c r="L72" i="1" s="1"/>
  <c r="L73" i="1" s="1"/>
  <c r="M68" i="1"/>
  <c r="L74" i="1" l="1"/>
  <c r="L75" i="1" s="1"/>
  <c r="M69" i="1"/>
  <c r="L76" i="1" l="1"/>
  <c r="Y76" i="1" s="1"/>
  <c r="Y69" i="1"/>
  <c r="Y63" i="1"/>
  <c r="Y20" i="1"/>
  <c r="Y64" i="1"/>
  <c r="Y16" i="1"/>
  <c r="Y27" i="1"/>
  <c r="Y48" i="1"/>
  <c r="Y38" i="1"/>
  <c r="Y19" i="1"/>
  <c r="Y43" i="1"/>
  <c r="Y36" i="1"/>
  <c r="Y39" i="1"/>
  <c r="Y37" i="1"/>
  <c r="Y14" i="1"/>
  <c r="Y10" i="1"/>
  <c r="Y53" i="1"/>
  <c r="Y61" i="1"/>
  <c r="Y59" i="1"/>
  <c r="Y60" i="1"/>
  <c r="Y12" i="1"/>
  <c r="Y44" i="1"/>
  <c r="Y40" i="1"/>
  <c r="Y8" i="1"/>
  <c r="Y26" i="1"/>
  <c r="Y21" i="1"/>
  <c r="Y52" i="1"/>
  <c r="Y35" i="1"/>
  <c r="Y54" i="1"/>
  <c r="Y28" i="1"/>
  <c r="Y49" i="1"/>
  <c r="Y34" i="1"/>
  <c r="Y22" i="1"/>
  <c r="Y72" i="1"/>
  <c r="Y68" i="1"/>
  <c r="Y67" i="1"/>
  <c r="Y58" i="1"/>
  <c r="Y57" i="1"/>
  <c r="Y62" i="1"/>
  <c r="Y25" i="1"/>
  <c r="Y18" i="1"/>
  <c r="Y7" i="1"/>
  <c r="Y55" i="1"/>
  <c r="Y11" i="1"/>
  <c r="Y5" i="1"/>
  <c r="Y29" i="1"/>
  <c r="Y46" i="1"/>
  <c r="Y41" i="1"/>
  <c r="Y6" i="1"/>
  <c r="Y32" i="1"/>
  <c r="Y47" i="1"/>
  <c r="Y66" i="1"/>
  <c r="Y65" i="1"/>
  <c r="Y56" i="1"/>
  <c r="Y17" i="1"/>
  <c r="Y23" i="1"/>
  <c r="Y42" i="1"/>
  <c r="Y45" i="1"/>
  <c r="Y15" i="1"/>
  <c r="Y33" i="1"/>
  <c r="Y50" i="1"/>
  <c r="Y24" i="1"/>
  <c r="Y9" i="1"/>
  <c r="Y30" i="1"/>
  <c r="Y13" i="1"/>
  <c r="Y4" i="1"/>
  <c r="Y71" i="1"/>
  <c r="Y70" i="1"/>
  <c r="Y3" i="1"/>
  <c r="Y73" i="1"/>
  <c r="Y31" i="1"/>
  <c r="Y74" i="1"/>
  <c r="Y51" i="1"/>
  <c r="M70" i="1"/>
  <c r="Y75" i="1" l="1"/>
  <c r="M71" i="1"/>
  <c r="M72" i="1" l="1"/>
  <c r="M73" i="1" l="1"/>
  <c r="M74" i="1" l="1"/>
  <c r="M75" i="1" s="1"/>
  <c r="M76" i="1" l="1"/>
  <c r="Z76" i="1" s="1"/>
  <c r="Z2" i="1"/>
  <c r="Z27" i="1"/>
  <c r="Z64" i="1"/>
  <c r="Z13" i="1"/>
  <c r="Z24" i="1"/>
  <c r="Z46" i="1"/>
  <c r="Z17" i="1"/>
  <c r="Z41" i="1"/>
  <c r="Z56" i="1"/>
  <c r="Z53" i="1"/>
  <c r="Z49" i="1"/>
  <c r="Z25" i="1"/>
  <c r="Z14" i="1"/>
  <c r="Z61" i="1"/>
  <c r="Z52" i="1"/>
  <c r="Z54" i="1"/>
  <c r="Z37" i="1"/>
  <c r="Z62" i="1"/>
  <c r="Z16" i="1"/>
  <c r="Z43" i="1"/>
  <c r="Z19" i="1"/>
  <c r="Z68" i="1"/>
  <c r="Z34" i="1"/>
  <c r="Z55" i="1"/>
  <c r="Z44" i="1"/>
  <c r="Z63" i="1"/>
  <c r="Z10" i="1"/>
  <c r="Z65" i="1"/>
  <c r="Z7" i="1"/>
  <c r="Z22" i="1"/>
  <c r="Z3" i="1"/>
  <c r="Z40" i="1"/>
  <c r="Z69" i="1"/>
  <c r="Z58" i="1"/>
  <c r="Z31" i="1"/>
  <c r="Z72" i="1"/>
  <c r="Z74" i="1"/>
  <c r="Z51" i="1" l="1"/>
  <c r="Z71" i="1"/>
  <c r="Z12" i="1"/>
  <c r="Z73" i="1"/>
  <c r="Z70" i="1"/>
  <c r="Z47" i="1"/>
  <c r="Z18" i="1"/>
  <c r="Z8" i="1"/>
  <c r="Z45" i="1"/>
  <c r="Z15" i="1"/>
  <c r="Z35" i="1"/>
  <c r="Z5" i="1"/>
  <c r="Z20" i="1"/>
  <c r="Z67" i="1"/>
  <c r="Z9" i="1"/>
  <c r="Z39" i="1"/>
  <c r="Z11" i="1"/>
  <c r="Z30" i="1"/>
  <c r="Z60" i="1"/>
  <c r="Z28" i="1"/>
  <c r="Z42" i="1"/>
  <c r="Z59" i="1"/>
  <c r="Z23" i="1"/>
  <c r="Z50" i="1"/>
  <c r="Z57" i="1"/>
  <c r="Z33" i="1"/>
  <c r="Z38" i="1"/>
  <c r="Z66" i="1"/>
  <c r="Z29" i="1"/>
  <c r="Z36" i="1"/>
  <c r="Z32" i="1"/>
  <c r="Z26" i="1"/>
  <c r="Z4" i="1"/>
  <c r="Z6" i="1"/>
  <c r="Z21" i="1"/>
  <c r="Z48" i="1"/>
  <c r="Z75"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shape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<sst xmlns="http://schemas.openxmlformats.org/spreadsheetml/2006/main" count="890" uniqueCount="537">
  <si>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</si>
  <si>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</si>
  <si>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</si>
  <si>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</si>
  <si>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</si>
  <si>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</si>
  <si>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</si>
  <si>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</si>
  <si>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</si>
  <si>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</si>
  <si>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</si>
  <si>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</si>
  <si>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</si>
  <si>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</si>
  <si>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</si>
  <si>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</si>
  <si>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</si>
  <si>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</si>
  <si>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</si>
  <si>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</si>
  <si>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</si>
  <si>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</si>
  <si>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</si>
  <si>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</si>
  <si>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</si>
  <si>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</si>
  <si>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</si>
  <si>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</si>
  <si>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</si>
  <si>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</si>
  <si>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</si>
  <si>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</si>
  <si>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</si>
  <si>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</si>
  <si>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</si>
  <si>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</si>
  <si>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</si>
  <si>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</si>
  <si>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</si>
  <si>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</si>
  <si>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</si>
  <si>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</si>
  <si>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</si>
  <si>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</si>
  <si>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</si>
  <si>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</si>
  <si>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</si>
  <si>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</si>
  <si>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</si>
  <si>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</si>
  <si>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</si>
  <si>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</si>
  <si>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</si>
  <si>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</si>
  <si>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</si>
  <si>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</si>
  <si>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</si>
  <si>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</si>
  <si>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</si>
  <si>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</si>
  <si>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</si>
  <si>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</si>
  <si>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</si>
  <si>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</si>
  <si>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</si>
  <si>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</si>
  <si>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</si>
  <si>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</si>
  <si>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</si>
  <si>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</si>
  <si>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</si>
  <si>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</si>
  <si>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</si>
  <si>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</si>
  <si>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</si>
  <si>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</si>
  <si>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</si>
  <si>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</si>
  <si>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</si>
  <si>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</si>
  <si>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</si>
  <si>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</si>
  <si>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</si>
  <si>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</si>
  <si>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</si>
  <si>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</si>
  <si>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</si>
  <si>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</si>
  <si>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</si>
  <si>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</si>
  <si>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</si>
  <si>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</si>
  <si>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</si>
  <si>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</si>
  <si>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</si>
  <si>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</si>
  <si>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</si>
  <si>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</si>
  <si>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</si>
  <si>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</si>
  <si>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</si>
  <si>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</si>
  <si>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</si>
  <si>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</si>
  <si>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</si>
  <si>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</si>
  <si>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</si>
  <si>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</si>
  <si>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</si>
  <si>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</si>
  <si>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</si>
  <si>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</si>
  <si>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</si>
  <si>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</si>
  <si>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</si>
  <si>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</si>
  <si>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</si>
  <si>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</si>
  <si>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</si>
  <si>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</si>
  <si>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</si>
  <si>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</si>
  <si>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</si>
  <si>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</si>
  <si>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</si>
  <si>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</si>
  <si>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</si>
  <si>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</si>
  <si>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</si>
  <si>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</si>
  <si>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</si>
  <si>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</si>
  <si>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</si>
  <si>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</si>
  <si>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</si>
  <si>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</si>
  <si>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</si>
  <si>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</si>
  <si>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</si>
  <si>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</si>
  <si>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</si>
  <si>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</si>
  <si>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</si>
  <si>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</si>
  <si>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</si>
  <si>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</si>
  <si>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</si>
  <si>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</si>
  <si>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</si>
  <si>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</si>
  <si>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</si>
  <si>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</si>
  <si>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</si>
  <si>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</si>
  <si>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</si>
  <si>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</si>
  <si>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</si>
  <si>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</si>
  <si>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</si>
  <si>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</si>
  <si>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</si>
  <si>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</si>
  <si>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</si>
  <si>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</si>
  <si>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</si>
  <si>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</si>
  <si>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</si>
  <si>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</si>
  <si>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</si>
  <si>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</si>
  <si>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</si>
  <si>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</si>
  <si>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</si>
  <si>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</si>
  <si>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</si>
  <si>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</si>
  <si>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</si>
  <si>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</si>
  <si>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</si>
  <si>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</si>
  <si>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</si>
  <si>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</si>
  <si>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</si>
  <si>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</si>
  <si>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</si>
  <si>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</si>
  <si>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</si>
  <si>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</si>
  <si>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</si>
  <si>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</si>
  <si>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</si>
  <si>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</si>
  <si>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</si>
  <si>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</si>
  <si>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</si>
  <si>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</si>
  <si>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</si>
  <si>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</si>
  <si>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</si>
  <si>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</si>
  <si>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</si>
  <si>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</si>
  <si>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</si>
  <si>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</si>
  <si>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</si>
  <si>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</si>
  <si>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</si>
  <si>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</si>
  <si>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</si>
  <si>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</si>
  <si>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</si>
  <si>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</si>
  <si>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</si>
  <si>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</si>
  <si>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</si>
  <si>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</si>
  <si>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</si>
  <si>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</si>
  <si>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</si>
  <si>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</si>
  <si>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</si>
  <si>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</si>
  <si>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</si>
  <si>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</si>
  <si>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</si>
  <si>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</si>
  <si>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</si>
  <si>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</si>
  <si>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</si>
  <si>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</si>
  <si>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</si>
  <si>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</si>
  <si>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</si>
  <si>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</si>
  <si>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</si>
  <si>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</si>
  <si>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</si>
  <si>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</si>
  <si>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</si>
  <si>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</si>
  <si>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</si>
  <si>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</si>
  <si>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</si>
  <si>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</si>
  <si>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</si>
  <si>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</si>
  <si>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</si>
  <si>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</si>
  <si>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</si>
  <si>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</si>
  <si>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</si>
  <si>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</si>
  <si>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</si>
  <si>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</si>
  <si>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</si>
  <si>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</si>
  <si>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</si>
  <si>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</si>
  <si>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</si>
  <si>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</si>
  <si>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</si>
  <si>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</si>
  <si>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</si>
  <si>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</si>
  <si>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</si>
  <si>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</si>
  <si>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</si>
  <si>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</si>
  <si>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</si>
  <si>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</si>
  <si>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</si>
  <si>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</si>
  <si>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</si>
  <si>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</si>
  <si>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</si>
  <si>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</si>
  <si>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</si>
  <si>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</si>
  <si>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</si>
  <si>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</si>
  <si>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</si>
  <si>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</si>
  <si>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</si>
  <si>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</si>
  <si>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</si>
  <si>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</si>
  <si>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</si>
  <si>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</si>
  <si>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</si>
  <si>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</si>
  <si>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</si>
  <si>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</si>
  <si>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</si>
  <si>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</si>
  <si>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</si>
  <si>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</si>
  <si>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</si>
  <si>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</si>
  <si>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</si>
  <si>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</si>
  <si>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</si>
  <si>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</si>
  <si>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</si>
  <si>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</si>
  <si>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</si>
  <si>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</si>
  <si>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</si>
  <si>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</si>
  <si>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</si>
  <si>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</si>
  <si>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</si>
  <si>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</si>
  <si>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</si>
  <si>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</si>
  <si>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</si>
  <si>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</si>
  <si>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</si>
  <si>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</si>
  <si>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</si>
  <si>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</si>
  <si>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</si>
  <si>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</si>
  <si>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</si>
  <si>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</si>
  <si>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</si>
  <si>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</si>
  <si>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</si>
  <si>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</si>
  <si>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</si>
  <si>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</si>
  <si>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</si>
  <si>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</si>
  <si>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</si>
  <si>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</si>
  <si>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</si>
  <si>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</si>
  <si>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</si>
  <si>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</si>
  <si>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</si>
  <si>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</si>
  <si>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</si>
  <si>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</si>
  <si>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</si>
  <si>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</si>
  <si>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</si>
  <si>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</si>
  <si>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</si>
  <si>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</si>
  <si>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</si>
  <si>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</si>
  <si>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</si>
  <si>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</si>
  <si>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</si>
  <si>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</si>
  <si>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</si>
  <si>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</si>
  <si>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</si>
  <si>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</si>
  <si>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</si>
  <si>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</si>
  <si>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</si>
  <si>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</si>
  <si>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</si>
  <si>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</si>
  <si>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</si>
  <si>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</si>
  <si>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</si>
  <si>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</si>
  <si>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</si>
  <si>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</si>
  <si>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</si>
  <si>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</si>
  <si>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</si>
  <si>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</si>
  <si>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</si>
  <si>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</si>
  <si>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</si>
  <si>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</si>
  <si>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</si>
  <si>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</si>
  <si>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</si>
  <si>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</si>
  <si>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</si>
  <si>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</si>
  <si>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</si>
  <si>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</si>
  <si>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</si>
  <si>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</si>
  <si>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</si>
  <si>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</si>
  <si>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</si>
  <si>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</si>
  <si>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</si>
  <si>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</si>
  <si>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</si>
  <si>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</si>
  <si>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</si>
  <si>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</si>
  <si>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</si>
  <si>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</si>
  <si>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</si>
  <si>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</si>
  <si>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</si>
  <si>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</si>
  <si>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</si>
  <si>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</si>
  <si>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</si>
  <si>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</si>
  <si>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</si>
  <si>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</si>
  <si>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</si>
  <si>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</si>
  <si>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</si>
  <si>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</si>
  <si>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</si>
  <si>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</si>
  <si>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</si>
  <si>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</si>
  <si>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</si>
  <si>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</si>
  <si>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</si>
  <si>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</si>
  <si>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</si>
  <si>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</si>
  <si>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</si>
  <si>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</si>
  <si>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</si>
  <si>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</si>
  <si>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</si>
  <si>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</si>
  <si>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</si>
  <si>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</si>
  <si>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</si>
  <si>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</si>
  <si>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</si>
  <si>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</si>
  <si>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</si>
  <si>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</si>
  <si>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</si>
  <si>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</si>
  <si>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</si>
  <si>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</si>
  <si>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</si>
  <si>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</si>
  <si>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</si>
  <si>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</si>
  <si>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</si>
  <si>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</si>
  <si>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</si>
  <si>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</si>
  <si>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</si>
  <si>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</si>
  <si>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</si>
  <si>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</si>
  <si>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</si>
  <si>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</si>
  <si>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</si>
  <si>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</si>
  <si>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</si>
  <si>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</si>
  <si>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</si>
  <si>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</si>
  <si>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</si>
  <si>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</si>
  <si>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</si>
  <si>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</si>
  <si>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</si>
  <si>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</si>
  <si>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</si>
  <si>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</si>
  <si>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</si>
  <si>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</si>
  <si>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</si>
  <si>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</si>
  <si>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</si>
  <si>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</si>
  <si>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</si>
  <si>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</si>
  <si>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</si>
  <si>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</si>
  <si>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</si>
  <si>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</si>
  <si>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</si>
  <si>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</si>
  <si>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</si>
  <si>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</si>
  <si>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</si>
  <si>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</si>
  <si>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</si>
  <si>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</si>
  <si>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</si>
  <si>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</si>
  <si>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</si>
  <si>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</si>
  <si>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</si>
  <si>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</si>
  <si>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</si>
  <si>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</si>
  <si>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</si>
  <si>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</si>
  <si>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</si>
  <si>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</si>
  <si>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</si>
  <si>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</si>
  <si>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</si>
  <si>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</si>
  <si>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</si>
  <si>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</si>
  <si>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</si>
  <si>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</si>
  <si>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</si>
  <si>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</si>
  <si>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</si>
  <si>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</si>
  <si>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</si>
  <si>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</si>
  <si>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</si>
  <si>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</si>
  <si>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</si>
  <si>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</si>
  <si>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</si>
  <si>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100 ml</t>
  </si>
  <si>
    <t>Abbot Whisper MS</t>
  </si>
  <si>
    <t>Abbot Whisper LS</t>
  </si>
  <si>
    <t>Правый</t>
  </si>
  <si>
    <t>200 ml</t>
  </si>
  <si>
    <t>Pilot 150</t>
  </si>
  <si>
    <t>Фатихов В.А.</t>
  </si>
  <si>
    <t>12:30</t>
  </si>
  <si>
    <t>стеноз устья до 50%</t>
  </si>
  <si>
    <r>
      <t xml:space="preserve">приустьевой стеноз 30%, субокклюзирующий стеноз проксимального сегмента 95%, диффузные стенотические изменения на протяжении среднего сегмента до 50%.Антеградный кровоток пропульсивныей ближе к TIMI II. </t>
    </r>
    <r>
      <rPr>
        <b/>
        <sz val="11"/>
        <color theme="1"/>
        <rFont val="Arial Narrow"/>
        <family val="2"/>
        <charset val="204"/>
      </rPr>
      <t>ИМА:</t>
    </r>
    <r>
      <rPr>
        <sz val="11"/>
        <color theme="1"/>
        <rFont val="Arial Narrow"/>
        <family val="2"/>
        <charset val="204"/>
      </rPr>
      <t xml:space="preserve"> без значимых стенозов. TIMI III.</t>
    </r>
  </si>
  <si>
    <t>стеноз пркосимального сегмента 50%. Крупная ВТК со стенозами устья 60%, стеноз средней трети 60%, стеноз дистального сегмента в области развилки  ветки порядка  70%. Антеградный кровоток  TIMI III.</t>
  </si>
  <si>
    <t>На уровне проксимального семента - ХТО. Определяются крупные проходимые ПЖВ с коллатеральным слабым контрастированием ЗБВ. Антеградный кровоток  TIMI 0. Выраженные коллатерали из ПНА (арт.донор) с ретроградным контрастированием ЗМЖВ и ЗБВ ПКА. Rentrop 2</t>
  </si>
  <si>
    <t>С учётом клиники, данных каг и коронарографии совместно с д/кардиологом принято решение в пользу реканализации ПНА и ЧКВ бассейна крупной ВТК в экстренном порядке.</t>
  </si>
  <si>
    <t xml:space="preserve">1) Контроль места пункции, повязка  на руке до 6 ч. </t>
  </si>
  <si>
    <t>30 ml</t>
  </si>
  <si>
    <t>Устье ствола ЛКА катетеризировано проводниковым катетером Launcher EBU 3.5 6Fr. Коронарные проводники shunmei (2 шт.) проведены в дистальный сегмент ПНА и ВТК.  Предилатация и полная реканализация ПНА выполнена БК Колибри 2,0-15 мм, давлением 12 атм. В зону проксимального сегмента ПНА имплантирован стент DES Resolute Integrity 3,0-26 мм, давлением по 14 атм.  Далее в зону средней трети крупной ВТК  имплантирован стент DES Resolute Integrity 3,0-18 мм, давлением 12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Ангиографический результат удовлетворительный. Антеградный кровоток по ПНА востановлен до TIMI III, кровоток по ОА и ВТК сохранён - TIMI III.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</si>
</sst>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10"/>
      <color theme="1"/>
      <name val="Arial Narrow"/>
      <family val="2"/>
      <charset val="204"/>
    </font>
    <font>
      <b/>
      <sz val="10"/>
      <color theme="1"/>
      <name val="Arial Narrow"/>
      <family val="2"/>
      <charset val="204"/>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0" borderId="12" xfId="0" applyFill="1" applyBorder="1"/>
    <xf numFmtId="0" fontId="16" fillId="0" borderId="13" xfId="0" applyFont="1" applyBorder="1"/>
    <xf numFmtId="0" fontId="69"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70" fillId="0" borderId="0" xfId="0" applyFont="1" applyAlignment="1" applyProtection="1">
      <alignment horizontal="justify" vertical="top" wrapText="1"/>
      <protection locked="0"/>
    </xf>
    <xf numFmtId="0" fontId="71" fillId="0" borderId="0" xfId="0" applyFont="1" applyAlignment="1" applyProtection="1">
      <alignment horizontal="justify" vertical="top" wrapText="1"/>
      <protection locked="0"/>
    </xf>
    <xf numFmtId="0" fontId="71" fillId="0" borderId="13" xfId="0" applyFont="1" applyBorder="1" applyAlignment="1" applyProtection="1">
      <alignment horizontal="justify" vertical="top" wrapText="1"/>
      <protection locked="0"/>
    </xf>
    <xf numFmtId="0" fontId="71" fillId="0" borderId="3" xfId="0" applyFont="1" applyBorder="1" applyAlignment="1" applyProtection="1">
      <alignment horizontal="justify" vertical="top" wrapText="1"/>
      <protection locked="0"/>
    </xf>
    <xf numFmtId="0" fontId="71"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8" fillId="0" borderId="12" xfId="0" applyFont="1" applyBorder="1" applyAlignment="1" applyProtection="1">
      <alignment horizontal="justify" vertical="top" wrapText="1"/>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97647"/>
        </a:xfrm>
        <a:prstGeom prst="rect">
          <a:avLst/>
        </a:prstGeom>
      </xdr:spPr>
    </xdr:pic>
    <xdr:clientData/>
  </xdr:twoCellAnchor>
  <xdr:twoCellAnchor editAs="oneCell">
    <xdr:from>
      <xdr:col>7</xdr:col>
      <xdr:colOff>295275</xdr:colOff>
      <xdr:row>0</xdr:row>
      <xdr:rowOff>114300</xdr:rowOff>
    </xdr:from>
    <xdr:to>
      <xdr:col>7</xdr:col>
      <xdr:colOff>1019175</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72150" y="114300"/>
          <a:ext cx="723900" cy="704950"/>
        </a:xfrm>
        <a:prstGeom prst="rect">
          <a:avLst/>
        </a:prstGeom>
      </xdr:spPr>
    </xdr:pic>
    <xdr:clientData/>
  </xdr:twoCellAnchor>
  <xdr:twoCellAnchor editAs="oneCell">
    <xdr:from>
      <xdr:col>0</xdr:col>
      <xdr:colOff>66675</xdr:colOff>
      <xdr:row>40</xdr:row>
      <xdr:rowOff>28575</xdr:rowOff>
    </xdr:from>
    <xdr:to>
      <xdr:col>1</xdr:col>
      <xdr:colOff>1428750</xdr:colOff>
      <xdr:row>48</xdr:row>
      <xdr:rowOff>171450</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5"/>
          <a:ext cx="2619375" cy="1590675"/>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6"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8"/>
  <sheetViews>
    <sheetView showGridLines="0" showWhiteSpace="0" zoomScaleNormal="100" zoomScaleSheetLayoutView="100" zoomScalePageLayoutView="90" workbookViewId="0">
      <selection activeCell="I12" sqref="I12"/>
    </sheetView>
  </sheetViews>
  <sheetFormatPr defaultColWidth="0" defaultRowHeight="15" zeroHeight="1"/>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style="209" customWidth="1"/>
    <col min="10" max="10" width="7.28515625" style="209" customWidth="1"/>
    <col min="11" max="13" width="0" style="209" hidden="1" customWidth="1"/>
    <col min="14" max="16384" width="8.85546875" style="209" hidden="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20" t="s">
        <v>213</v>
      </c>
      <c r="B6" s="221"/>
      <c r="C6" s="221"/>
      <c r="D6" s="221"/>
      <c r="E6" s="221"/>
      <c r="F6" s="221"/>
      <c r="G6" s="221"/>
      <c r="H6" s="222"/>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45580</v>
      </c>
      <c r="C8" s="54"/>
      <c r="D8" s="16" t="s">
        <v>186</v>
      </c>
      <c r="E8" s="29"/>
      <c r="F8" s="29"/>
      <c r="G8" s="17"/>
      <c r="H8" s="18"/>
    </row>
    <row r="9" spans="1:8" ht="15.6" customHeight="1">
      <c r="A9" s="21" t="s">
        <v>193</v>
      </c>
      <c r="B9" s="22">
        <v>0.75347222222222221</v>
      </c>
      <c r="C9" s="54"/>
      <c r="D9" s="94" t="s">
        <v>172</v>
      </c>
      <c r="E9" s="92"/>
      <c r="F9" s="92"/>
      <c r="G9" s="23" t="s">
        <v>163</v>
      </c>
      <c r="H9" s="25"/>
    </row>
    <row r="10" spans="1:8" ht="15.6" customHeight="1" thickBot="1">
      <c r="A10" s="83" t="s">
        <v>194</v>
      </c>
      <c r="B10" s="84">
        <v>0.76388888888888884</v>
      </c>
      <c r="C10" s="55"/>
      <c r="D10" s="95" t="s">
        <v>173</v>
      </c>
      <c r="E10" s="93"/>
      <c r="F10" s="93"/>
      <c r="G10" s="24" t="s">
        <v>168</v>
      </c>
      <c r="H10" s="26"/>
    </row>
    <row r="11" spans="1:8" ht="17.25" thickTop="1" thickBot="1">
      <c r="A11" s="89" t="s">
        <v>192</v>
      </c>
      <c r="B11" s="203" t="s">
        <v>527</v>
      </c>
      <c r="C11" s="8"/>
      <c r="D11" s="95" t="s">
        <v>170</v>
      </c>
      <c r="E11" s="93"/>
      <c r="F11" s="93"/>
      <c r="G11" s="24" t="s">
        <v>302</v>
      </c>
      <c r="H11" s="26"/>
    </row>
    <row r="12" spans="1:8" ht="16.5" thickTop="1">
      <c r="A12" s="81" t="s">
        <v>8</v>
      </c>
      <c r="B12" s="82">
        <v>19671</v>
      </c>
      <c r="C12" s="12"/>
      <c r="D12" s="95" t="s">
        <v>303</v>
      </c>
      <c r="E12" s="93"/>
      <c r="F12" s="93"/>
      <c r="G12" s="24" t="s">
        <v>178</v>
      </c>
      <c r="H12" s="26"/>
    </row>
    <row r="13" spans="1:8" ht="15.75">
      <c r="A13" s="15" t="s">
        <v>10</v>
      </c>
      <c r="B13" s="30">
        <f>DATEDIF(B12,B8,"y")</f>
        <v>70</v>
      </c>
      <c r="C13" s="12"/>
      <c r="D13" s="95"/>
      <c r="E13" s="93"/>
      <c r="F13" s="93"/>
      <c r="G13" s="24"/>
      <c r="H13" s="26"/>
    </row>
    <row r="14" spans="1:8" ht="15.75">
      <c r="A14" s="15" t="s">
        <v>12</v>
      </c>
      <c r="B14" s="19">
        <v>28702</v>
      </c>
      <c r="C14" s="12"/>
      <c r="D14" s="36"/>
      <c r="E14" s="36"/>
      <c r="F14" s="36"/>
      <c r="G14" s="37"/>
      <c r="H14" s="56"/>
    </row>
    <row r="15" spans="1:8" ht="15.75">
      <c r="A15" s="15" t="s">
        <v>133</v>
      </c>
      <c r="B15" s="19">
        <v>35</v>
      </c>
      <c r="D15" s="36"/>
      <c r="E15" s="36"/>
      <c r="F15" s="36"/>
      <c r="G15" s="165" t="s">
        <v>399</v>
      </c>
      <c r="H15" s="169" t="s">
        <v>528</v>
      </c>
    </row>
    <row r="16" spans="1:8" ht="15.6" customHeight="1">
      <c r="A16" s="15" t="s">
        <v>106</v>
      </c>
      <c r="B16" s="19" t="s">
        <v>312</v>
      </c>
      <c r="D16" s="36"/>
      <c r="E16" s="36"/>
      <c r="F16" s="36"/>
      <c r="G16" s="166" t="s">
        <v>401</v>
      </c>
      <c r="H16" s="164">
        <v>5920</v>
      </c>
    </row>
    <row r="17" spans="1:8" ht="14.45" customHeight="1">
      <c r="A17" s="40"/>
      <c r="B17" s="31"/>
      <c r="C17" s="31"/>
      <c r="D17" s="88"/>
      <c r="E17" s="88"/>
      <c r="F17" s="88"/>
      <c r="G17" s="167" t="s">
        <v>388</v>
      </c>
      <c r="H17" s="168">
        <f>H16*0.0019</f>
        <v>11.247999999999999</v>
      </c>
    </row>
    <row r="18" spans="1:8" ht="14.45" customHeight="1">
      <c r="A18" s="57" t="s">
        <v>188</v>
      </c>
      <c r="B18" s="87" t="s">
        <v>524</v>
      </c>
      <c r="D18" s="28" t="s">
        <v>210</v>
      </c>
      <c r="E18" s="28"/>
      <c r="F18" s="28"/>
      <c r="G18" s="85" t="s">
        <v>189</v>
      </c>
      <c r="H18" s="86" t="s">
        <v>506</v>
      </c>
    </row>
    <row r="19" spans="1:8" ht="14.45" customHeight="1">
      <c r="A19" s="40"/>
      <c r="B19" s="31"/>
      <c r="C19" s="31"/>
      <c r="D19" s="34"/>
      <c r="E19" s="34"/>
      <c r="F19" s="34"/>
      <c r="G19" s="31"/>
      <c r="H19" s="41"/>
    </row>
    <row r="20" spans="1:8" ht="14.45" customHeight="1">
      <c r="A20" s="57" t="s">
        <v>212</v>
      </c>
      <c r="B20" s="223" t="s">
        <v>529</v>
      </c>
      <c r="C20" s="224"/>
      <c r="D20" s="224"/>
      <c r="E20" s="224"/>
      <c r="F20" s="224"/>
      <c r="G20" s="224"/>
      <c r="H20" s="225"/>
    </row>
    <row r="21" spans="1:8">
      <c r="A21" s="58"/>
      <c r="B21" s="226"/>
      <c r="C21" s="226"/>
      <c r="D21" s="226"/>
      <c r="E21" s="226"/>
      <c r="F21" s="226"/>
      <c r="G21" s="226"/>
      <c r="H21" s="227"/>
    </row>
    <row r="22" spans="1:8" ht="15.6" customHeight="1">
      <c r="A22" s="59" t="s">
        <v>271</v>
      </c>
      <c r="B22" s="228" t="s">
        <v>530</v>
      </c>
      <c r="C22" s="228"/>
      <c r="D22" s="228"/>
      <c r="E22" s="228"/>
      <c r="F22" s="228"/>
      <c r="G22" s="228"/>
      <c r="H22" s="229"/>
    </row>
    <row r="23" spans="1:8" ht="14.45" customHeight="1">
      <c r="A23" s="38"/>
      <c r="B23" s="230"/>
      <c r="C23" s="230"/>
      <c r="D23" s="230"/>
      <c r="E23" s="230"/>
      <c r="F23" s="230"/>
      <c r="G23" s="230"/>
      <c r="H23" s="231"/>
    </row>
    <row r="24" spans="1:8" ht="14.45" customHeight="1">
      <c r="A24" s="60"/>
      <c r="B24" s="230"/>
      <c r="C24" s="230"/>
      <c r="D24" s="230"/>
      <c r="E24" s="230"/>
      <c r="F24" s="230"/>
      <c r="G24" s="230"/>
      <c r="H24" s="231"/>
    </row>
    <row r="25" spans="1:8" ht="14.45" customHeight="1">
      <c r="A25" s="38"/>
      <c r="B25" s="230"/>
      <c r="C25" s="230"/>
      <c r="D25" s="230"/>
      <c r="E25" s="230"/>
      <c r="F25" s="230"/>
      <c r="G25" s="230"/>
      <c r="H25" s="231"/>
    </row>
    <row r="26" spans="1:8" ht="14.45" customHeight="1">
      <c r="A26" s="40"/>
      <c r="B26" s="232"/>
      <c r="C26" s="232"/>
      <c r="D26" s="232"/>
      <c r="E26" s="232"/>
      <c r="F26" s="232"/>
      <c r="G26" s="232"/>
      <c r="H26" s="233"/>
    </row>
    <row r="27" spans="1:8" ht="14.45" customHeight="1">
      <c r="A27" s="59" t="s">
        <v>272</v>
      </c>
      <c r="B27" s="228" t="s">
        <v>531</v>
      </c>
      <c r="C27" s="228"/>
      <c r="D27" s="228"/>
      <c r="E27" s="228"/>
      <c r="F27" s="228"/>
      <c r="G27" s="228"/>
      <c r="H27" s="229"/>
    </row>
    <row r="28" spans="1:8" ht="15.6" customHeight="1">
      <c r="A28" s="38"/>
      <c r="B28" s="230"/>
      <c r="C28" s="230"/>
      <c r="D28" s="230"/>
      <c r="E28" s="230"/>
      <c r="F28" s="230"/>
      <c r="G28" s="230"/>
      <c r="H28" s="231"/>
    </row>
    <row r="29" spans="1:8" ht="14.45" customHeight="1">
      <c r="A29" s="38"/>
      <c r="B29" s="230"/>
      <c r="C29" s="230"/>
      <c r="D29" s="230"/>
      <c r="E29" s="230"/>
      <c r="F29" s="230"/>
      <c r="G29" s="230"/>
      <c r="H29" s="231"/>
    </row>
    <row r="30" spans="1:8" ht="14.45" customHeight="1">
      <c r="A30" s="32"/>
      <c r="B30" s="230"/>
      <c r="C30" s="230"/>
      <c r="D30" s="230"/>
      <c r="E30" s="230"/>
      <c r="F30" s="230"/>
      <c r="G30" s="230"/>
      <c r="H30" s="231"/>
    </row>
    <row r="31" spans="1:8" ht="14.45" customHeight="1">
      <c r="A31" s="33"/>
      <c r="B31" s="232"/>
      <c r="C31" s="232"/>
      <c r="D31" s="232"/>
      <c r="E31" s="232"/>
      <c r="F31" s="232"/>
      <c r="G31" s="232"/>
      <c r="H31" s="233"/>
    </row>
    <row r="32" spans="1:8" ht="14.45" customHeight="1">
      <c r="A32" s="59" t="s">
        <v>273</v>
      </c>
      <c r="B32" s="228" t="s">
        <v>532</v>
      </c>
      <c r="C32" s="228"/>
      <c r="D32" s="228"/>
      <c r="E32" s="228"/>
      <c r="F32" s="228"/>
      <c r="G32" s="228"/>
      <c r="H32" s="229"/>
    </row>
    <row r="33" spans="1:8" ht="14.45" customHeight="1">
      <c r="A33" s="38"/>
      <c r="B33" s="230"/>
      <c r="C33" s="230"/>
      <c r="D33" s="230"/>
      <c r="E33" s="230"/>
      <c r="F33" s="230"/>
      <c r="G33" s="230"/>
      <c r="H33" s="231"/>
    </row>
    <row r="34" spans="1:8" ht="15.6" customHeight="1">
      <c r="A34" s="38"/>
      <c r="B34" s="230"/>
      <c r="C34" s="230"/>
      <c r="D34" s="230"/>
      <c r="E34" s="230"/>
      <c r="F34" s="230"/>
      <c r="G34" s="230"/>
      <c r="H34" s="231"/>
    </row>
    <row r="35" spans="1:8" ht="14.45" customHeight="1">
      <c r="A35" s="38"/>
      <c r="B35" s="230"/>
      <c r="C35" s="230"/>
      <c r="D35" s="230"/>
      <c r="E35" s="230"/>
      <c r="F35" s="230"/>
      <c r="G35" s="230"/>
      <c r="H35" s="231"/>
    </row>
    <row r="36" spans="1:8" ht="15.6" customHeight="1">
      <c r="A36" s="38"/>
      <c r="B36" s="230"/>
      <c r="C36" s="230"/>
      <c r="D36" s="230"/>
      <c r="E36" s="230"/>
      <c r="F36" s="230"/>
      <c r="G36" s="230"/>
      <c r="H36" s="231"/>
    </row>
    <row r="37" spans="1:8" ht="14.45" customHeight="1">
      <c r="A37" s="38"/>
      <c r="D37" s="216" t="str">
        <f>IF($A$6=Вмешательства!$D$3,Вмешательства!$F$18,"")</f>
        <v/>
      </c>
      <c r="E37" s="216"/>
      <c r="F37" s="119"/>
      <c r="G37" s="119"/>
      <c r="H37" s="123"/>
    </row>
    <row r="38" spans="1:8" ht="14.45" customHeight="1">
      <c r="A38" s="38"/>
      <c r="C38" s="124"/>
      <c r="D38" s="217"/>
      <c r="E38" s="218"/>
      <c r="F38" s="218"/>
      <c r="G38" s="218"/>
      <c r="H38" s="219"/>
    </row>
    <row r="39" spans="1:8" ht="14.45" customHeight="1">
      <c r="A39" s="35"/>
      <c r="B39" s="119"/>
      <c r="C39" s="124"/>
      <c r="D39" s="218"/>
      <c r="E39" s="218"/>
      <c r="F39" s="218"/>
      <c r="G39" s="218"/>
      <c r="H39" s="219"/>
    </row>
    <row r="40" spans="1:8" ht="14.45" customHeight="1">
      <c r="A40" s="35"/>
      <c r="B40" s="119"/>
      <c r="C40" s="124"/>
      <c r="D40" s="218"/>
      <c r="E40" s="218"/>
      <c r="F40" s="218"/>
      <c r="G40" s="218"/>
      <c r="H40" s="219"/>
    </row>
    <row r="41" spans="1:8" ht="14.45" customHeight="1">
      <c r="A41" s="35"/>
      <c r="B41" s="119"/>
      <c r="C41" s="124"/>
      <c r="D41" s="218"/>
      <c r="E41" s="218"/>
      <c r="F41" s="218"/>
      <c r="G41" s="218"/>
      <c r="H41" s="219"/>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3" t="s">
        <v>533</v>
      </c>
      <c r="E43" s="214"/>
      <c r="F43" s="214"/>
      <c r="G43" s="214"/>
      <c r="H43" s="215"/>
    </row>
    <row r="44" spans="1:8" ht="14.45" customHeight="1">
      <c r="A44" s="35"/>
      <c r="B44" s="119"/>
      <c r="C44" s="126"/>
      <c r="D44" s="214"/>
      <c r="E44" s="214"/>
      <c r="F44" s="214"/>
      <c r="G44" s="214"/>
      <c r="H44" s="215"/>
    </row>
    <row r="45" spans="1:8" ht="14.45" customHeight="1">
      <c r="A45" s="35"/>
      <c r="B45" s="119"/>
      <c r="C45" s="126"/>
      <c r="D45" s="214"/>
      <c r="E45" s="214"/>
      <c r="F45" s="214"/>
      <c r="G45" s="214"/>
      <c r="H45" s="215"/>
    </row>
    <row r="46" spans="1:8">
      <c r="A46" s="35"/>
      <c r="B46" s="119"/>
      <c r="C46" s="126"/>
      <c r="D46" s="214"/>
      <c r="E46" s="214"/>
      <c r="F46" s="214"/>
      <c r="G46" s="214"/>
      <c r="H46" s="215"/>
    </row>
    <row r="47" spans="1:8">
      <c r="A47" s="38"/>
      <c r="C47" s="126"/>
      <c r="D47" s="214"/>
      <c r="E47" s="214"/>
      <c r="F47" s="214"/>
      <c r="G47" s="214"/>
      <c r="H47" s="215"/>
    </row>
    <row r="48" spans="1:8">
      <c r="A48" s="38"/>
      <c r="C48" s="126"/>
      <c r="D48" s="214"/>
      <c r="E48" s="214"/>
      <c r="F48" s="214"/>
      <c r="G48" s="214"/>
      <c r="H48" s="215"/>
    </row>
    <row r="49" spans="1:13">
      <c r="A49" s="38"/>
      <c r="B49" s="205"/>
      <c r="C49" s="206"/>
      <c r="D49" s="214"/>
      <c r="E49" s="214"/>
      <c r="F49" s="214"/>
      <c r="G49" s="214"/>
      <c r="H49" s="215"/>
    </row>
    <row r="50" spans="1:13">
      <c r="A50" s="38"/>
      <c r="D50" s="214"/>
      <c r="E50" s="214"/>
      <c r="F50" s="214"/>
      <c r="G50" s="214"/>
      <c r="H50" s="215"/>
      <c r="M50" s="209" t="s">
        <v>211</v>
      </c>
    </row>
    <row r="51" spans="1:13">
      <c r="A51" s="62" t="s">
        <v>199</v>
      </c>
      <c r="B51" s="63" t="s">
        <v>521</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row r="55" spans="1:13">
      <c r="A55" s="209"/>
      <c r="B55" s="209"/>
      <c r="C55" s="209"/>
      <c r="D55" s="209"/>
      <c r="E55" s="209"/>
      <c r="F55" s="209"/>
      <c r="G55" s="209"/>
      <c r="H55" s="209"/>
    </row>
    <row r="56" spans="1:13">
      <c r="A56" s="209"/>
      <c r="B56" s="209"/>
      <c r="C56" s="209"/>
      <c r="D56" s="209"/>
      <c r="E56" s="209"/>
      <c r="F56" s="209"/>
      <c r="G56" s="209"/>
      <c r="H56" s="209"/>
    </row>
    <row r="57" spans="1:13">
      <c r="A57" s="209"/>
      <c r="B57" s="209"/>
      <c r="C57" s="209"/>
      <c r="D57" s="209"/>
      <c r="E57" s="209"/>
      <c r="F57" s="209"/>
      <c r="G57" s="209"/>
      <c r="H57" s="209"/>
    </row>
    <row r="58" spans="1:13">
      <c r="A58" s="209"/>
      <c r="B58" s="209"/>
      <c r="C58" s="209"/>
      <c r="D58" s="209"/>
      <c r="E58" s="209"/>
      <c r="F58" s="209"/>
      <c r="G58" s="209"/>
      <c r="H58" s="209"/>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9"/>
  <sheetViews>
    <sheetView showGridLines="0" tabSelected="1" showWhiteSpace="0" zoomScale="90" zoomScaleNormal="90" zoomScaleSheetLayoutView="100" zoomScalePageLayoutView="90" workbookViewId="0">
      <selection activeCell="G9" sqref="G9"/>
    </sheetView>
  </sheetViews>
  <sheetFormatPr defaultColWidth="0" defaultRowHeight="15" zeroHeight="1"/>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style="209" customWidth="1"/>
    <col min="10" max="10" width="7.28515625" style="209" customWidth="1"/>
    <col min="11" max="12" width="0" hidden="1" customWidth="1"/>
    <col min="13" max="16384" width="8.85546875" hidden="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4" t="s">
        <v>208</v>
      </c>
      <c r="B6" s="245"/>
      <c r="C6" s="245"/>
      <c r="D6" s="245"/>
      <c r="E6" s="245"/>
      <c r="F6" s="245"/>
      <c r="G6" s="245"/>
      <c r="H6" s="246"/>
    </row>
    <row r="7" spans="1:8" ht="21.6" customHeight="1">
      <c r="A7" s="244"/>
      <c r="B7" s="245"/>
      <c r="C7" s="245"/>
      <c r="D7" s="245"/>
      <c r="E7" s="245"/>
      <c r="F7" s="245"/>
      <c r="G7" s="245"/>
      <c r="H7" s="246"/>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3" t="s">
        <v>221</v>
      </c>
      <c r="D8" s="243"/>
      <c r="E8" s="243"/>
      <c r="F8" s="190">
        <v>1</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21167</v>
      </c>
      <c r="C9" s="243" t="s">
        <v>224</v>
      </c>
      <c r="D9" s="243"/>
      <c r="E9" s="243"/>
      <c r="F9" s="190">
        <v>1</v>
      </c>
      <c r="G9" s="118" t="s">
        <v>309</v>
      </c>
      <c r="H9" s="39"/>
    </row>
    <row r="10" spans="1:8">
      <c r="A10" s="52" t="str">
        <f>"Код метода:"&amp;" "&amp;IFERROR(IF(ISBLANK(ЧКВ!H8),IF(A6=Вмешательства!D4,INDEX(Код.Метода[#All],MATCH(ЧКВ!B21,Код.Метода[[#All],[Диагноз]],0),MATCH(ЧКВ!C11,Вмешательства!F12:T12,0))," ")," "),"")</f>
        <v>Код метода: 46</v>
      </c>
      <c r="B10" s="189"/>
      <c r="C10" s="247"/>
      <c r="D10" s="247"/>
      <c r="E10" s="247"/>
      <c r="F10" s="193"/>
      <c r="G10" s="118"/>
      <c r="H10" s="39"/>
    </row>
    <row r="11" spans="1:8">
      <c r="A11" s="192"/>
      <c r="B11" s="196"/>
      <c r="C11" s="199">
        <f>SUM(F8:F10)</f>
        <v>2</v>
      </c>
      <c r="H11" s="39"/>
    </row>
    <row r="12" spans="1:8" ht="18.75">
      <c r="A12" s="75" t="s">
        <v>191</v>
      </c>
      <c r="B12" s="20">
        <f>КАГ!B8</f>
        <v>45580</v>
      </c>
      <c r="C12" s="12"/>
      <c r="D12" s="16" t="s">
        <v>186</v>
      </c>
      <c r="E12" s="29"/>
      <c r="F12" s="29"/>
      <c r="G12" s="17"/>
      <c r="H12" s="18"/>
    </row>
    <row r="13" spans="1:8" ht="15.75">
      <c r="A13" s="76" t="s">
        <v>193</v>
      </c>
      <c r="B13" s="22">
        <v>0.76388888888888884</v>
      </c>
      <c r="C13" s="12"/>
      <c r="D13" s="94" t="s">
        <v>172</v>
      </c>
      <c r="E13" s="92"/>
      <c r="F13" s="92"/>
      <c r="G13" s="79" t="str">
        <f>КАГ!G9</f>
        <v>Щербаков А.С.</v>
      </c>
      <c r="H13" s="90" t="str">
        <f>IF(ISBLANK(КАГ!H9),"",КАГ!H9)</f>
        <v/>
      </c>
    </row>
    <row r="14" spans="1:8" ht="15.75">
      <c r="A14" s="76" t="s">
        <v>194</v>
      </c>
      <c r="B14" s="22">
        <v>0.80208333333333337</v>
      </c>
      <c r="C14" s="12"/>
      <c r="D14" s="95" t="s">
        <v>173</v>
      </c>
      <c r="E14" s="93"/>
      <c r="F14" s="93"/>
      <c r="G14" s="80" t="str">
        <f>КАГ!G10</f>
        <v>Тарасова Н.В.</v>
      </c>
      <c r="H14" s="91" t="str">
        <f>IF(ISBLANK(КАГ!H10),"",КАГ!H10)</f>
        <v/>
      </c>
    </row>
    <row r="15" spans="1:8" ht="16.5" thickBot="1">
      <c r="A15" s="163" t="s">
        <v>387</v>
      </c>
      <c r="B15" s="188">
        <f>IF(B14&lt;B13,B14+1,B14)-B13</f>
        <v>3.8194444444444531E-2</v>
      </c>
      <c r="D15" s="95" t="s">
        <v>170</v>
      </c>
      <c r="E15" s="93"/>
      <c r="F15" s="93"/>
      <c r="G15" s="80" t="str">
        <f>КАГ!G11</f>
        <v>Медведева А.</v>
      </c>
      <c r="H15" s="91" t="str">
        <f>IF(ISBLANK(КАГ!H11),"",КАГ!H11)</f>
        <v/>
      </c>
    </row>
    <row r="16" spans="1:8" ht="17.25" thickTop="1" thickBot="1">
      <c r="A16" s="89" t="s">
        <v>192</v>
      </c>
      <c r="B16" s="201" t="str">
        <f>КАГ!B11</f>
        <v>Фатихов В.А.</v>
      </c>
      <c r="C16" s="200">
        <f>LEN(КАГ!B11)</f>
        <v>12</v>
      </c>
      <c r="D16" s="95" t="s">
        <v>303</v>
      </c>
      <c r="E16" s="93"/>
      <c r="F16" s="93"/>
      <c r="G16" s="80" t="str">
        <f>КАГ!G12</f>
        <v>Галамага Н.Е.</v>
      </c>
      <c r="H16" s="91" t="str">
        <f>IF(ISBLANK(КАГ!H12),"",КАГ!H12)</f>
        <v/>
      </c>
    </row>
    <row r="17" spans="1:8" ht="16.5" thickTop="1">
      <c r="A17" s="15" t="s">
        <v>8</v>
      </c>
      <c r="B17" s="67">
        <f>КАГ!B12</f>
        <v>19671</v>
      </c>
      <c r="D17" s="95" t="s">
        <v>184</v>
      </c>
      <c r="E17" s="93"/>
      <c r="F17" s="93"/>
      <c r="G17" s="80" t="str">
        <f>IF(ISBLANK(КАГ!G13),"",КАГ!G13)</f>
        <v/>
      </c>
      <c r="H17" s="91" t="str">
        <f>IF(ISBLANK(КАГ!H13),"",КАГ!H13)</f>
        <v/>
      </c>
    </row>
    <row r="18" spans="1:8" ht="15.75">
      <c r="A18" s="15" t="s">
        <v>10</v>
      </c>
      <c r="B18" s="30">
        <f>КАГ!B13</f>
        <v>70</v>
      </c>
      <c r="H18" s="39"/>
    </row>
    <row r="19" spans="1:8" ht="14.45" customHeight="1">
      <c r="A19" s="15" t="s">
        <v>12</v>
      </c>
      <c r="B19" s="68">
        <f>КАГ!B14</f>
        <v>28702</v>
      </c>
      <c r="C19" s="69"/>
      <c r="D19" s="69"/>
      <c r="E19" s="69"/>
      <c r="F19" s="69"/>
      <c r="G19" s="165" t="s">
        <v>399</v>
      </c>
      <c r="H19" s="180" t="str">
        <f>КАГ!H15</f>
        <v>12:30</v>
      </c>
    </row>
    <row r="20" spans="1:8" ht="14.45" customHeight="1">
      <c r="A20" s="15" t="s">
        <v>133</v>
      </c>
      <c r="B20" s="68">
        <f>КАГ!B15</f>
        <v>35</v>
      </c>
      <c r="C20" s="70"/>
      <c r="D20" s="70"/>
      <c r="E20" s="70"/>
      <c r="F20" s="70"/>
      <c r="G20" s="166" t="s">
        <v>401</v>
      </c>
      <c r="H20" s="181">
        <f>КАГ!H16</f>
        <v>5920</v>
      </c>
    </row>
    <row r="21" spans="1:8" ht="14.45" customHeight="1">
      <c r="A21" s="15" t="s">
        <v>106</v>
      </c>
      <c r="B21" s="67" t="str">
        <f>КАГ!B16</f>
        <v>ОКС БПST</v>
      </c>
      <c r="C21" s="70"/>
      <c r="E21" s="71"/>
      <c r="F21" s="71"/>
      <c r="G21" s="167" t="s">
        <v>388</v>
      </c>
      <c r="H21" s="168">
        <f>КАГ!H17</f>
        <v>11.247999999999999</v>
      </c>
    </row>
    <row r="22" spans="1:8" ht="14.45" customHeight="1">
      <c r="A22" s="57" t="str">
        <f>КАГ!G18</f>
        <v>Доступ:</v>
      </c>
      <c r="B22" s="77" t="str">
        <f>КАГ!H18</f>
        <v>лучевой</v>
      </c>
      <c r="C22" s="70"/>
      <c r="D22" s="70"/>
      <c r="E22" s="70"/>
      <c r="F22" s="70"/>
      <c r="G22" s="184" t="str">
        <f>IF(B21=Вмешательства!F3,Вмешательства!F19,"")</f>
        <v/>
      </c>
      <c r="H22" s="185" t="str">
        <f>IF($B$21=Вмешательства!F3,SUM(КАГ!B9+IF($C$16&lt;=10,0.00555555555555556,IF($C$16=11,0.00694444444444444,IF($C$16=12,0.00833333333333333,IF($C$16=13,0.00972222222222222,IF($C$16=14,0.0111111111111111,IF($C$16=15,0.0111111111111111,IF($C$16=16,0.0118055555555556,IF($C$16&gt;=17,0.0138888888888889))))))))),"")</f>
        <v/>
      </c>
    </row>
    <row r="23" spans="1:8" ht="14.45" customHeight="1">
      <c r="A23" s="65" t="s">
        <v>391</v>
      </c>
      <c r="B23" s="172" t="s">
        <v>390</v>
      </c>
      <c r="C23" s="162"/>
      <c r="D23" s="162"/>
      <c r="E23" s="162"/>
      <c r="F23" s="162"/>
      <c r="H23" s="39"/>
    </row>
    <row r="24" spans="1:8" ht="14.45" customHeight="1">
      <c r="A24" s="183" t="s">
        <v>389</v>
      </c>
      <c r="B24" s="170"/>
      <c r="C24" s="170"/>
      <c r="D24" s="170"/>
      <c r="E24" s="170"/>
      <c r="F24" s="170"/>
      <c r="G24" s="170"/>
      <c r="H24" s="171"/>
    </row>
    <row r="25" spans="1:8" ht="14.45" customHeight="1">
      <c r="A25" s="251" t="s">
        <v>536</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7" t="s">
        <v>395</v>
      </c>
      <c r="B38" s="175"/>
      <c r="C38" s="176"/>
      <c r="D38" s="176"/>
      <c r="E38" s="186" t="str">
        <f>IF(A6=Вмешательства!D4,Вмешательства!V16,IF(ЧКВ!A6=Вмешательства!D36,Вмешательства!V16,"-----"))</f>
        <v>СТЕНТ/Ы</v>
      </c>
      <c r="F38" s="176"/>
      <c r="G38" s="179"/>
      <c r="H38" s="212"/>
      <c r="I38" s="211"/>
    </row>
    <row r="39" spans="1:12" ht="15.75">
      <c r="A39" s="173" t="s">
        <v>392</v>
      </c>
      <c r="B39" s="70" t="s">
        <v>394</v>
      </c>
      <c r="C39" s="121"/>
      <c r="D39" s="122" t="s">
        <v>187</v>
      </c>
      <c r="E39" s="72"/>
      <c r="F39" s="72"/>
      <c r="G39" s="72"/>
      <c r="H39" s="73"/>
    </row>
    <row r="40" spans="1:12" ht="14.45" customHeight="1">
      <c r="A40" s="174" t="s">
        <v>393</v>
      </c>
      <c r="B40" s="178" t="s">
        <v>535</v>
      </c>
      <c r="C40" s="120"/>
      <c r="D40" s="248" t="s">
        <v>534</v>
      </c>
      <c r="E40" s="249"/>
      <c r="F40" s="249"/>
      <c r="G40" s="249"/>
      <c r="H40" s="250"/>
    </row>
    <row r="41" spans="1:12" ht="14.45" customHeight="1">
      <c r="A41" s="32"/>
      <c r="B41" s="28"/>
      <c r="C41" s="120"/>
      <c r="D41" s="249"/>
      <c r="E41" s="249"/>
      <c r="F41" s="249"/>
      <c r="G41" s="249"/>
      <c r="H41" s="250"/>
    </row>
    <row r="42" spans="1:12" ht="14.45" customHeight="1">
      <c r="A42" s="32"/>
      <c r="B42" s="28"/>
      <c r="C42" s="120"/>
      <c r="D42" s="249"/>
      <c r="E42" s="249"/>
      <c r="F42" s="249"/>
      <c r="G42" s="249"/>
      <c r="H42" s="250"/>
    </row>
    <row r="43" spans="1:12" ht="14.45" customHeight="1">
      <c r="A43" s="32"/>
      <c r="B43" s="28"/>
      <c r="C43" s="120"/>
      <c r="D43" s="249"/>
      <c r="E43" s="249"/>
      <c r="F43" s="249"/>
      <c r="G43" s="249"/>
      <c r="H43" s="250"/>
    </row>
    <row r="44" spans="1:12" ht="14.45" customHeight="1">
      <c r="A44" s="32"/>
      <c r="B44" s="28"/>
      <c r="C44" s="120"/>
      <c r="D44" s="249"/>
      <c r="E44" s="249"/>
      <c r="F44" s="249"/>
      <c r="G44" s="249"/>
      <c r="H44" s="250"/>
      <c r="L44" s="160"/>
    </row>
    <row r="45" spans="1:12" ht="14.45" customHeight="1">
      <c r="A45" s="32"/>
      <c r="B45" s="28"/>
      <c r="C45" s="120"/>
      <c r="D45" s="249"/>
      <c r="E45" s="249"/>
      <c r="F45" s="249"/>
      <c r="G45" s="249"/>
      <c r="H45" s="250"/>
    </row>
    <row r="46" spans="1:12" ht="14.45" customHeight="1">
      <c r="A46" s="32"/>
      <c r="B46" s="28"/>
      <c r="C46" s="120"/>
      <c r="D46" s="249"/>
      <c r="E46" s="249"/>
      <c r="F46" s="249"/>
      <c r="G46" s="249"/>
      <c r="H46" s="250"/>
    </row>
    <row r="47" spans="1:12" ht="14.45" customHeight="1">
      <c r="A47" s="38"/>
      <c r="C47" s="120"/>
      <c r="D47" s="249"/>
      <c r="E47" s="249"/>
      <c r="F47" s="249"/>
      <c r="G47" s="249"/>
      <c r="H47" s="250"/>
    </row>
    <row r="48" spans="1:12" ht="14.45" customHeight="1">
      <c r="A48" s="38"/>
      <c r="C48" s="120"/>
      <c r="D48" s="249"/>
      <c r="E48" s="249"/>
      <c r="F48" s="249"/>
      <c r="G48" s="249"/>
      <c r="H48" s="250"/>
    </row>
    <row r="49" spans="1:8" ht="14.45" customHeight="1">
      <c r="A49" s="38"/>
      <c r="C49" s="120"/>
      <c r="D49" s="249"/>
      <c r="E49" s="249"/>
      <c r="F49" s="249"/>
      <c r="G49" s="249"/>
      <c r="H49" s="250"/>
    </row>
    <row r="50" spans="1:8">
      <c r="A50" s="62" t="s">
        <v>199</v>
      </c>
      <c r="B50" s="63" t="s">
        <v>525</v>
      </c>
      <c r="H50" s="39"/>
    </row>
    <row r="51" spans="1:8">
      <c r="A51" s="65" t="s">
        <v>206</v>
      </c>
      <c r="B51" s="66" t="s">
        <v>311</v>
      </c>
      <c r="G51" s="74" t="str">
        <f>$G$13</f>
        <v>Щербаков А.С.</v>
      </c>
      <c r="H51" s="64"/>
    </row>
    <row r="52" spans="1:8">
      <c r="A52" s="234" t="s">
        <v>371</v>
      </c>
      <c r="B52" s="235"/>
      <c r="C52" s="235"/>
      <c r="D52" s="235"/>
      <c r="E52" s="235"/>
      <c r="F52" s="236"/>
      <c r="H52" s="39"/>
    </row>
    <row r="53" spans="1:8" ht="15" customHeight="1">
      <c r="A53" s="237"/>
      <c r="B53" s="238"/>
      <c r="C53" s="238"/>
      <c r="D53" s="238"/>
      <c r="E53" s="238"/>
      <c r="F53" s="239"/>
      <c r="G53" s="74" t="str">
        <f>IF(ISBLANK(H13),"",H13)</f>
        <v/>
      </c>
      <c r="H53" s="64"/>
    </row>
    <row r="54" spans="1:8">
      <c r="A54" s="240"/>
      <c r="B54" s="241"/>
      <c r="C54" s="241"/>
      <c r="D54" s="241"/>
      <c r="E54" s="241"/>
      <c r="F54" s="242"/>
      <c r="G54" s="31"/>
      <c r="H54" s="41"/>
    </row>
    <row r="55" spans="1:8"/>
    <row r="56" spans="1:8">
      <c r="A56" s="209"/>
      <c r="B56" s="209"/>
      <c r="C56" s="209"/>
      <c r="D56" s="209"/>
      <c r="E56" s="209"/>
      <c r="F56" s="209"/>
      <c r="G56" s="209"/>
      <c r="H56" s="209"/>
    </row>
    <row r="57" spans="1:8">
      <c r="A57" s="209"/>
      <c r="B57" s="209"/>
      <c r="C57" s="209"/>
      <c r="D57" s="209"/>
      <c r="E57" s="209"/>
      <c r="F57" s="209"/>
      <c r="G57" s="209"/>
      <c r="H57" s="209"/>
    </row>
    <row r="58" spans="1:8">
      <c r="A58" s="209"/>
      <c r="B58" s="209"/>
      <c r="C58" s="209"/>
      <c r="D58" s="209"/>
      <c r="E58" s="209"/>
      <c r="F58" s="209"/>
      <c r="G58" s="209"/>
      <c r="H58" s="209"/>
    </row>
    <row r="59" spans="1:8">
      <c r="A59" s="209"/>
      <c r="B59" s="209"/>
      <c r="C59" s="209"/>
      <c r="D59" s="209"/>
      <c r="E59" s="209"/>
      <c r="F59" s="209"/>
      <c r="G59" s="209"/>
      <c r="H59" s="209"/>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workbookViewId="0">
      <selection activeCell="A3" sqref="A3"/>
    </sheetView>
  </sheetViews>
  <sheetFormatPr defaultColWidth="0" defaultRowHeight="15" zeroHeight="1"/>
  <cols>
    <col min="1" max="1" width="68.85546875" customWidth="1"/>
    <col min="2" max="5" width="9.140625" style="209" customWidth="1"/>
    <col min="6" max="16384" width="9.140625" hidden="1"/>
  </cols>
  <sheetData>
    <row r="1" spans="1:1">
      <c r="A1" s="3" t="str">
        <f>КАГ!A6</f>
        <v>КОРОНАРОГРАФИЯ</v>
      </c>
    </row>
    <row r="2" spans="1:1"/>
    <row r="3" spans="1:1" ht="354" customHeight="1">
      <c r="A3" s="210" t="str">
        <f>КАГ!A18&amp;"   "&amp;КАГ!B18&amp;CHAR(10)&amp;CHAR(10)&amp;КАГ!A20&amp;"   "&amp;КАГ!B20&amp;CHAR(10)&amp;CHAR(10)&amp;КАГ!A22&amp;"   "&amp;КАГ!B22&amp;CHAR(10)&amp;CHAR(10)&amp;КАГ!A27&amp;"   "&amp;КАГ!B27&amp;CHAR(10)&amp;CHAR(10)&amp;КАГ!A32&amp;"   "&amp;КАГ!B32</f>
        <v>Тип:   Правый
Ствол ЛКА:   стеноз устья до 50%
Бассейн ПНА:   приустьевой стеноз 30%, субокклюзирующий стеноз проксимального сегмента 95%, диффузные стенотические изменения на протяжении среднего сегмента до 50%.Антеградный кровоток пропульсивныей ближе к TIMI II. ИМА: без значимых стенозов. TIMI III.
Бассейн  ОА:   стеноз пркосимального сегмента 50%. Крупная ВТК со стенозами устья 60%, стеноз средней трети 60%, стеноз дистального сегмента в области развилки  ветки порядка  70%. Антеградный кровоток  TIMI III.
Бассейн ПКА:   На уровне проксимального семента - ХТО. Определяются крупные проходимые ПЖВ с коллатеральным слабым контрастированием ЗБВ. Антеградный кровоток  TIMI 0. Выраженные коллатерали из ПНА (арт.донор) с ретроградным контрастированием ЗМЖВ и ЗБВ ПКА. Rentrop 2</v>
      </c>
    </row>
    <row r="4" spans="1:1">
      <c r="A4" s="209"/>
    </row>
    <row r="5" spans="1:1">
      <c r="A5" s="209"/>
    </row>
    <row r="6" spans="1:1">
      <c r="A6" s="209"/>
    </row>
    <row r="7" spans="1:1">
      <c r="A7" s="209"/>
    </row>
    <row r="8" spans="1:1">
      <c r="A8" s="209"/>
    </row>
    <row r="9" spans="1:1">
      <c r="A9" s="209"/>
    </row>
  </sheetData>
  <sheetProtection sheet="1" objects="1" scenario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G19" sqref="G19"/>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45580</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Фатихов В.А.</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19671</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70</v>
      </c>
    </row>
    <row r="7" spans="1:4">
      <c r="A7" s="38"/>
      <c r="C7" s="101" t="s">
        <v>12</v>
      </c>
      <c r="D7" s="103">
        <f>КАГ!$B$14</f>
        <v>28702</v>
      </c>
    </row>
    <row r="8" spans="1:4">
      <c r="A8" s="194" t="str">
        <f>ЧКВ!$A$9</f>
        <v>Код модели: 21167</v>
      </c>
      <c r="B8" s="104"/>
      <c r="C8" s="101" t="s">
        <v>133</v>
      </c>
      <c r="D8" s="103">
        <f>КАГ!$B$15</f>
        <v>35</v>
      </c>
    </row>
    <row r="9" spans="1:4">
      <c r="A9" s="194" t="str">
        <f>ЧКВ!$A$10</f>
        <v>Код метода: 46</v>
      </c>
      <c r="C9" s="105" t="s">
        <v>106</v>
      </c>
      <c r="D9" s="103" t="str">
        <f>КАГ!$B$16</f>
        <v>ОКС БПST</v>
      </c>
    </row>
    <row r="10" spans="1:4">
      <c r="A10" s="195"/>
      <c r="B10" s="31"/>
      <c r="C10" s="150" t="s">
        <v>13</v>
      </c>
      <c r="D10" s="151">
        <f>КАГ!$B$8</f>
        <v>45580</v>
      </c>
    </row>
    <row r="11" spans="1:4">
      <c r="A11" s="27"/>
      <c r="B11" s="112"/>
      <c r="C11" s="112"/>
      <c r="D11" s="113"/>
    </row>
    <row r="12" spans="1:4" ht="18.75" customHeight="1">
      <c r="A12" s="136" t="s">
        <v>336</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4" t="s">
        <v>326</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520</v>
      </c>
      <c r="C15" s="135"/>
      <c r="D15" s="140">
        <v>2</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4" t="s">
        <v>375</v>
      </c>
      <c r="C16" s="135" t="s">
        <v>406</v>
      </c>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4" t="s">
        <v>324</v>
      </c>
      <c r="C17" s="135" t="s">
        <v>457</v>
      </c>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4" t="s">
        <v>324</v>
      </c>
      <c r="C18" s="135" t="s">
        <v>455</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c>
      <c r="B19" s="154"/>
      <c r="C19" s="182"/>
      <c r="D19" s="140"/>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5"/>
      <c r="D20" s="140"/>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c>
      <c r="B21" s="154"/>
      <c r="C21" s="135"/>
      <c r="D21" s="140"/>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377</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517</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486</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485</v>
      </c>
      <c r="G3" s="3" t="s">
        <v>486</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486</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400</v>
      </c>
      <c r="F5" t="s">
        <v>131</v>
      </c>
      <c r="G5" s="3" t="s">
        <v>486</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486</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486</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486</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486</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487</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485</v>
      </c>
      <c r="G13" s="3" t="s">
        <v>487</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487</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487</v>
      </c>
      <c r="H15" s="3">
        <v>2633</v>
      </c>
      <c r="I15" s="3">
        <v>46</v>
      </c>
      <c r="J15" s="3">
        <v>45</v>
      </c>
      <c r="K15" s="3">
        <v>45</v>
      </c>
      <c r="L15" s="3">
        <v>45</v>
      </c>
      <c r="M15" s="3">
        <v>45</v>
      </c>
      <c r="N15" s="3">
        <v>45</v>
      </c>
      <c r="O15" s="3">
        <v>45</v>
      </c>
      <c r="P15" s="3">
        <v>45</v>
      </c>
      <c r="Q15" s="3">
        <v>45</v>
      </c>
      <c r="R15" s="3">
        <v>45</v>
      </c>
      <c r="S15" s="3">
        <v>45</v>
      </c>
      <c r="T15" s="3">
        <v>45</v>
      </c>
      <c r="V15" t="s">
        <v>395</v>
      </c>
      <c r="W15" s="12"/>
    </row>
    <row r="16" spans="1:23">
      <c r="A16" s="8">
        <v>15</v>
      </c>
      <c r="B16" s="2" t="s">
        <v>31</v>
      </c>
      <c r="C16" s="8" t="s">
        <v>237</v>
      </c>
      <c r="D16" s="5" t="s">
        <v>32</v>
      </c>
      <c r="V16" t="s">
        <v>396</v>
      </c>
    </row>
    <row r="17" spans="1:23">
      <c r="A17" s="8">
        <v>16</v>
      </c>
      <c r="B17" s="2" t="s">
        <v>33</v>
      </c>
      <c r="C17" s="8" t="s">
        <v>238</v>
      </c>
      <c r="D17" s="5" t="s">
        <v>34</v>
      </c>
      <c r="F17" t="s">
        <v>488</v>
      </c>
      <c r="V17" t="s">
        <v>397</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503</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52" zoomScaleNormal="100" workbookViewId="0">
      <selection activeCell="A2" sqref="A2"/>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500</v>
      </c>
      <c r="AN1" s="2" t="s">
        <v>494</v>
      </c>
      <c r="AO1" t="s">
        <v>357</v>
      </c>
      <c r="AP1" s="159"/>
    </row>
    <row r="2" spans="1:42">
      <c r="A2">
        <f>ROW(Расходка[[#This Row],[Тип расходного материала ]])-1</f>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1</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Shunmei</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DES, Resolute Integtity</v>
      </c>
      <c r="W2" s="115" t="str">
        <f>IFERROR(INDEX(Расходка[Наименование расходного материала],MATCH(Расходка[[#This Row],[№]],Поиск_расходки[Индекс6],0)),"")</f>
        <v>DES, Resolute Integtity</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402</v>
      </c>
      <c r="AI2" t="s">
        <v>190</v>
      </c>
      <c r="AJ2" t="s">
        <v>199</v>
      </c>
      <c r="AK2" t="str">
        <f>CONCATENATE(AI2,AJ2)</f>
        <v xml:space="preserve">Контраст: Ультравист 370 </v>
      </c>
      <c r="AM2" s="207">
        <v>155800</v>
      </c>
      <c r="AN2" s="208" t="s">
        <v>309</v>
      </c>
      <c r="AO2" s="209" t="s">
        <v>496</v>
      </c>
      <c r="AP2" s="128"/>
    </row>
    <row r="3" spans="1:42">
      <c r="A3">
        <f>ROW(Расходка[[#This Row],[Тип расходного материала ]])-1</f>
        <v>2</v>
      </c>
      <c r="B3" t="s">
        <v>94</v>
      </c>
      <c r="C3" t="s">
        <v>370</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2</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403</v>
      </c>
      <c r="AI3" t="s">
        <v>190</v>
      </c>
      <c r="AJ3" t="s">
        <v>200</v>
      </c>
      <c r="AK3" t="str">
        <f t="shared" ref="AK3:AK6" si="0">CONCATENATE(AI3,AJ3)</f>
        <v>Контраст: Омнипак 350</v>
      </c>
      <c r="AM3" s="189">
        <v>218190</v>
      </c>
      <c r="AN3" s="2" t="s">
        <v>489</v>
      </c>
      <c r="AO3" t="s">
        <v>497</v>
      </c>
      <c r="AP3" s="129"/>
    </row>
    <row r="4" spans="1:42">
      <c r="A4">
        <f>ROW(Расходка[[#This Row],[Тип расходного материала ]])-1</f>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3</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404</v>
      </c>
      <c r="AI4" t="s">
        <v>190</v>
      </c>
      <c r="AJ4" t="s">
        <v>201</v>
      </c>
      <c r="AK4" t="str">
        <f t="shared" si="0"/>
        <v>Контраст: Оптирей 350</v>
      </c>
      <c r="AM4" s="189">
        <v>337440</v>
      </c>
      <c r="AN4" s="2" t="s">
        <v>502</v>
      </c>
      <c r="AO4" t="s">
        <v>499</v>
      </c>
      <c r="AP4" s="129"/>
    </row>
    <row r="5" spans="1:42">
      <c r="A5">
        <f>ROW(Расходка[[#This Row],[Тип расходного материала ]])-1</f>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4</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405</v>
      </c>
      <c r="AI5" t="s">
        <v>190</v>
      </c>
      <c r="AJ5" t="s">
        <v>202</v>
      </c>
      <c r="AK5" t="str">
        <f t="shared" si="0"/>
        <v>Контраст: Юнигексол 350</v>
      </c>
      <c r="AM5" s="207">
        <v>136170</v>
      </c>
      <c r="AN5" s="208"/>
      <c r="AO5" s="209" t="s">
        <v>498</v>
      </c>
    </row>
    <row r="6" spans="1:42">
      <c r="A6">
        <f>ROW(Расходка[[#This Row],[Тип расходного материала ]])-1</f>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5</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406</v>
      </c>
      <c r="AI6" t="s">
        <v>190</v>
      </c>
      <c r="AJ6" t="s">
        <v>203</v>
      </c>
      <c r="AK6" t="str">
        <f t="shared" si="0"/>
        <v>Контраст: Сканлюкс 370</v>
      </c>
      <c r="AM6" s="189">
        <v>135820</v>
      </c>
      <c r="AN6" s="2"/>
      <c r="AO6" t="s">
        <v>501</v>
      </c>
    </row>
    <row r="7" spans="1:42">
      <c r="A7">
        <f>ROW(Расходка[[#This Row],[Тип расходного материала ]])-1</f>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6</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407</v>
      </c>
      <c r="AI7" t="s">
        <v>190</v>
      </c>
      <c r="AJ7" t="s">
        <v>204</v>
      </c>
      <c r="AK7" t="str">
        <f t="shared" ref="AK7:AK8" si="1">CONCATENATE(AI7,AJ7)</f>
        <v>Контраст: Йогексол 350</v>
      </c>
      <c r="AM7" s="207">
        <v>155760</v>
      </c>
      <c r="AN7" s="208"/>
      <c r="AO7" s="209" t="s">
        <v>495</v>
      </c>
    </row>
    <row r="8" spans="1:42">
      <c r="A8">
        <f>ROW(Расходка[[#This Row],[Тип расходного материала ]])-1</f>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7</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408</v>
      </c>
      <c r="AI8" t="s">
        <v>190</v>
      </c>
      <c r="AJ8" t="s">
        <v>205</v>
      </c>
      <c r="AK8" t="str">
        <f t="shared" si="1"/>
        <v>Контраст: Визипак 320</v>
      </c>
      <c r="AM8" s="189">
        <v>218140</v>
      </c>
      <c r="AN8" s="2"/>
      <c r="AO8" t="s">
        <v>89</v>
      </c>
    </row>
    <row r="9" spans="1:42">
      <c r="A9">
        <f>ROW(Расходка[[#This Row],[Тип расходного материала ]])-1</f>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8</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409</v>
      </c>
      <c r="AM9" s="189">
        <v>218160</v>
      </c>
      <c r="AN9" s="2"/>
      <c r="AO9" t="s">
        <v>90</v>
      </c>
    </row>
    <row r="10" spans="1:42">
      <c r="A10">
        <f>ROW(Расходка[[#This Row],[Тип расходного материала ]])-1</f>
        <v>9</v>
      </c>
      <c r="B10" t="s">
        <v>5</v>
      </c>
      <c r="C10" t="s">
        <v>375</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9</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410</v>
      </c>
      <c r="AI10" t="s">
        <v>356</v>
      </c>
      <c r="AM10" s="189">
        <v>194510</v>
      </c>
      <c r="AN10" s="2"/>
      <c r="AO10" t="s">
        <v>91</v>
      </c>
    </row>
    <row r="11" spans="1:42">
      <c r="A11">
        <f>ROW(Расходка[[#This Row],[Тип расходного материала ]])-1</f>
        <v>10</v>
      </c>
      <c r="B11" t="s">
        <v>5</v>
      </c>
      <c r="C11" t="s">
        <v>398</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10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411</v>
      </c>
      <c r="AI11" t="s">
        <v>4</v>
      </c>
      <c r="AM11" s="189">
        <v>323500</v>
      </c>
      <c r="AN11" s="2"/>
      <c r="AO11" t="s">
        <v>92</v>
      </c>
    </row>
    <row r="12" spans="1:42">
      <c r="A12">
        <f>ROW(Расходка[[#This Row],[Тип расходного материала ]])-1</f>
        <v>11</v>
      </c>
      <c r="B12" t="s">
        <v>5</v>
      </c>
      <c r="C12" t="s">
        <v>515</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11</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NC АКСИОМА</v>
      </c>
      <c r="Y12" s="115" t="str">
        <f>IFERROR(INDEX(Расходка[Наименование расходного материала],MATCH(Расходка[[#This Row],[№]],Поиск_расходки[Индекс8],0)),"")</f>
        <v>NC АКСИОМА</v>
      </c>
      <c r="Z12" s="115" t="str">
        <f>IFERROR(INDEX(Расходка[Наименование расходного материала],MATCH(Расходка[[#This Row],[№]],Поиск_расходки[Индекс9],0)),"")</f>
        <v>NC АКСИОМА</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412</v>
      </c>
      <c r="AI12" t="s">
        <v>3</v>
      </c>
      <c r="AM12" s="189">
        <v>323510</v>
      </c>
      <c r="AN12" s="2"/>
      <c r="AO12" t="s">
        <v>93</v>
      </c>
    </row>
    <row r="13" spans="1:42">
      <c r="A13">
        <f>ROW(Расходка[[#This Row],[Тип расходного материала ]])-1</f>
        <v>12</v>
      </c>
      <c r="B13" t="s">
        <v>308</v>
      </c>
      <c r="C13" s="1" t="s">
        <v>334</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12</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Nitrex 260</v>
      </c>
      <c r="Y13" s="115" t="str">
        <f>IFERROR(INDEX(Расходка[Наименование расходного материала],MATCH(Расходка[[#This Row],[№]],Поиск_расходки[Индекс8],0)),"")</f>
        <v>Nitrex 260</v>
      </c>
      <c r="Z13" s="115" t="str">
        <f>IFERROR(INDEX(Расходка[Наименование расходного материала],MATCH(Расходка[[#This Row],[№]],Поиск_расходки[Индекс9],0)),"")</f>
        <v>Nitrex 260</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413</v>
      </c>
      <c r="AI13" t="s">
        <v>6</v>
      </c>
      <c r="AN13" s="2"/>
    </row>
    <row r="14" spans="1:42">
      <c r="A14">
        <f>ROW(Расходка[[#This Row],[Тип расходного материала ]])-1</f>
        <v>13</v>
      </c>
      <c r="B14" t="s">
        <v>308</v>
      </c>
      <c r="C14" t="s">
        <v>366</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13</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RadiFocus</v>
      </c>
      <c r="Y14" s="115" t="str">
        <f>IFERROR(INDEX(Расходка[Наименование расходного материала],MATCH(Расходка[[#This Row],[№]],Поиск_расходки[Индекс8],0)),"")</f>
        <v>RadiFocus</v>
      </c>
      <c r="Z14" s="115" t="str">
        <f>IFERROR(INDEX(Расходка[Наименование расходного материала],MATCH(Расходка[[#This Row],[№]],Поиск_расходки[Индекс9],0)),"")</f>
        <v>RadiFocus</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492</v>
      </c>
      <c r="AI14" t="s">
        <v>5</v>
      </c>
      <c r="AM14" s="189"/>
      <c r="AN14" s="2"/>
    </row>
    <row r="15" spans="1:42">
      <c r="A15">
        <f>ROW(Расходка[[#This Row],[Тип расходного материала ]])-1</f>
        <v>14</v>
      </c>
      <c r="B15" t="s">
        <v>306</v>
      </c>
      <c r="C15" t="s">
        <v>333</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14</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BasixCOMPAK</v>
      </c>
      <c r="Y15" s="115" t="str">
        <f>IFERROR(INDEX(Расходка[Наименование расходного материала],MATCH(Расходка[[#This Row],[№]],Поиск_расходки[Индекс8],0)),"")</f>
        <v>BasixCOMPAK</v>
      </c>
      <c r="Z15" s="115" t="str">
        <f>IFERROR(INDEX(Расходка[Наименование расходного материала],MATCH(Расходка[[#This Row],[№]],Поиск_расходки[Индекс9],0)),"")</f>
        <v>BasixCOMPAK</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414</v>
      </c>
      <c r="AI15" t="s">
        <v>94</v>
      </c>
    </row>
    <row r="16" spans="1:42">
      <c r="A16">
        <f>ROW(Расходка[[#This Row],[Тип расходного материала ]])-1</f>
        <v>15</v>
      </c>
      <c r="B16" t="s">
        <v>306</v>
      </c>
      <c r="C16" t="s">
        <v>363</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15</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BasixTOUCH</v>
      </c>
      <c r="Y16" s="115" t="str">
        <f>IFERROR(INDEX(Расходка[Наименование расходного материала],MATCH(Расходка[[#This Row],[№]],Поиск_расходки[Индекс8],0)),"")</f>
        <v>BasixTOUCH</v>
      </c>
      <c r="Z16" s="115" t="str">
        <f>IFERROR(INDEX(Расходка[Наименование расходного материала],MATCH(Расходка[[#This Row],[№]],Поиск_расходки[Индекс9],0)),"")</f>
        <v>BasixTOUCH</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415</v>
      </c>
      <c r="AI16" t="s">
        <v>306</v>
      </c>
    </row>
    <row r="17" spans="1:35">
      <c r="A17">
        <f>ROW(Расходка[[#This Row],[Тип расходного материала ]])-1</f>
        <v>16</v>
      </c>
      <c r="B17" t="s">
        <v>306</v>
      </c>
      <c r="C17" t="s">
        <v>355</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16</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Dolphin</v>
      </c>
      <c r="Y17" s="115" t="str">
        <f>IFERROR(INDEX(Расходка[Наименование расходного материала],MATCH(Расходка[[#This Row],[№]],Поиск_расходки[Индекс8],0)),"")</f>
        <v>Dolphin</v>
      </c>
      <c r="Z17" s="115" t="str">
        <f>IFERROR(INDEX(Расходка[Наименование расходного материала],MATCH(Расходка[[#This Row],[№]],Поиск_расходки[Индекс9],0)),"")</f>
        <v>Dolphin</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416</v>
      </c>
      <c r="AI17" t="s">
        <v>206</v>
      </c>
    </row>
    <row r="18" spans="1:35">
      <c r="A18">
        <f>ROW(Расходка[[#This Row],[Тип расходного материала ]])-1</f>
        <v>17</v>
      </c>
      <c r="B18" t="s">
        <v>306</v>
      </c>
      <c r="C18" t="s">
        <v>376</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17</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Lepu Medical</v>
      </c>
      <c r="Y18" s="115" t="str">
        <f>IFERROR(INDEX(Расходка[Наименование расходного материала],MATCH(Расходка[[#This Row],[№]],Поиск_расходки[Индекс8],0)),"")</f>
        <v>Lepu Medical</v>
      </c>
      <c r="Z18" s="115" t="str">
        <f>IFERROR(INDEX(Расходка[Наименование расходного материала],MATCH(Расходка[[#This Row],[№]],Поиск_расходки[Индекс9],0)),"")</f>
        <v>Lepu Medical</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417</v>
      </c>
      <c r="AI18" t="s">
        <v>95</v>
      </c>
    </row>
    <row r="19" spans="1:35">
      <c r="A19">
        <f>ROW(Расходка[[#This Row],[Тип расходного материала ]])-1</f>
        <v>18</v>
      </c>
      <c r="B19" t="s">
        <v>306</v>
      </c>
      <c r="C19" t="s">
        <v>368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18</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Perouse Medical FLAMINGO</v>
      </c>
      <c r="Y19" s="115" t="str">
        <f>IFERROR(INDEX(Расходка[Наименование расходного материала],MATCH(Расходка[[#This Row],[№]],Поиск_расходки[Индекс8],0)),"")</f>
        <v>Perouse Medical FLAMINGO</v>
      </c>
      <c r="Z19" s="115" t="str">
        <f>IFERROR(INDEX(Расходка[Наименование расходного материала],MATCH(Расходка[[#This Row],[№]],Поиск_расходки[Индекс9],0)),"")</f>
        <v>Perouse Medical FLAMINGO</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418</v>
      </c>
      <c r="AI19" t="s">
        <v>301</v>
      </c>
    </row>
    <row r="20" spans="1:35">
      <c r="A20">
        <f>ROW(Расходка[[#This Row],[Тип расходного материала ]])-1</f>
        <v>19</v>
      </c>
      <c r="B20" t="s">
        <v>306</v>
      </c>
      <c r="C20" t="s">
        <v>505</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19</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Demax</v>
      </c>
      <c r="Y20" s="115" t="str">
        <f>IFERROR(INDEX(Расходка[Наименование расходного материала],MATCH(Расходка[[#This Row],[№]],Поиск_расходки[Индекс8],0)),"")</f>
        <v>Demax</v>
      </c>
      <c r="Z20" s="115" t="str">
        <f>IFERROR(INDEX(Расходка[Наименование расходного материала],MATCH(Расходка[[#This Row],[№]],Поиск_расходки[Индекс9],0)),"")</f>
        <v>Demax</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419</v>
      </c>
      <c r="AI20" t="s">
        <v>308</v>
      </c>
    </row>
    <row r="21" spans="1:35">
      <c r="A21">
        <f>ROW(Расходка[[#This Row],[Тип расходного материала ]])-1</f>
        <v>20</v>
      </c>
      <c r="B21" t="s">
        <v>206</v>
      </c>
      <c r="C21" s="1" t="s">
        <v>339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20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Oscor 7F</v>
      </c>
      <c r="Y21" s="115" t="str">
        <f>IFERROR(INDEX(Расходка[Наименование расходного материала],MATCH(Расходка[[#This Row],[№]],Поиск_расходки[Индекс8],0)),"")</f>
        <v>Oscor 7F</v>
      </c>
      <c r="Z21" s="115" t="str">
        <f>IFERROR(INDEX(Расходка[Наименование расходного материала],MATCH(Расходка[[#This Row],[№]],Поиск_расходки[Индекс9],0)),"")</f>
        <v>Oscor 7F</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420</v>
      </c>
    </row>
    <row r="22" spans="1:35">
      <c r="A22">
        <f>ROW(Расходка[[#This Row],[Тип расходного материала ]])-1</f>
        <v>21</v>
      </c>
      <c r="B22" t="s">
        <v>306</v>
      </c>
      <c r="C22" s="1" t="s">
        <v>508</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21</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"МИМ". Тюмень</v>
      </c>
      <c r="Y22" s="115" t="str">
        <f>IFERROR(INDEX(Расходка[Наименование расходного материала],MATCH(Расходка[[#This Row],[№]],Поиск_расходки[Индекс8],0)),"")</f>
        <v>"МИМ". Тюмень</v>
      </c>
      <c r="Z22" s="115" t="str">
        <f>IFERROR(INDEX(Расходка[Наименование расходного материала],MATCH(Расходка[[#This Row],[№]],Поиск_расходки[Индекс9],0)),"")</f>
        <v>"МИМ". Тюмень</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421</v>
      </c>
    </row>
    <row r="23" spans="1:35">
      <c r="A23">
        <f>ROW(Расходка[[#This Row],[Тип расходного материала ]])-1</f>
        <v>22</v>
      </c>
      <c r="B23" t="s">
        <v>306</v>
      </c>
      <c r="C23" s="1" t="s">
        <v>510</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22</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Поток CTЗ по ТУ</v>
      </c>
      <c r="Y23" s="115" t="str">
        <f>IFERROR(INDEX(Расходка[Наименование расходного материала],MATCH(Расходка[[#This Row],[№]],Поиск_расходки[Индекс8],0)),"")</f>
        <v>Поток CTЗ по ТУ</v>
      </c>
      <c r="Z23" s="115" t="str">
        <f>IFERROR(INDEX(Расходка[Наименование расходного материала],MATCH(Расходка[[#This Row],[№]],Поиск_расходки[Индекс9],0)),"")</f>
        <v>Поток CTЗ по ТУ</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422</v>
      </c>
    </row>
    <row r="24" spans="1:35">
      <c r="A24">
        <f>ROW(Расходка[[#This Row],[Тип расходного материала ]])-1</f>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23</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Индефлятор</v>
      </c>
      <c r="Y24" s="115" t="str">
        <f>IFERROR(INDEX(Расходка[Наименование расходного материала],MATCH(Расходка[[#This Row],[№]],Поиск_расходки[Индекс8],0)),"")</f>
        <v>Индефлятор</v>
      </c>
      <c r="Z24" s="115" t="str">
        <f>IFERROR(INDEX(Расходка[Наименование расходного материала],MATCH(Расходка[[#This Row],[№]],Поиск_расходки[Индекс9],0)),"")</f>
        <v>Индефлятор</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423</v>
      </c>
    </row>
    <row r="25" spans="1:35">
      <c r="A25">
        <f>ROW(Расходка[[#This Row],[Тип расходного материала ]])-1</f>
        <v>24</v>
      </c>
      <c r="B25" t="s">
        <v>3</v>
      </c>
      <c r="C25" t="s">
        <v>322</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24</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Cougar LS Hydro-Track®</v>
      </c>
      <c r="Y25" s="115" t="str">
        <f>IFERROR(INDEX(Расходка[Наименование расходного материала],MATCH(Расходка[[#This Row],[№]],Поиск_расходки[Индекс8],0)),"")</f>
        <v>Cougar LS Hydro-Track®</v>
      </c>
      <c r="Z25" s="115" t="str">
        <f>IFERROR(INDEX(Расходка[Наименование расходного материала],MATCH(Расходка[[#This Row],[№]],Поиск_расходки[Индекс9],0)),"")</f>
        <v>Cougar LS Hydro-Track®</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424</v>
      </c>
    </row>
    <row r="26" spans="1:35">
      <c r="A26">
        <f>ROW(Расходка[[#This Row],[Тип расходного материала ]])-1</f>
        <v>25</v>
      </c>
      <c r="B26" t="s">
        <v>3</v>
      </c>
      <c r="C26" t="s">
        <v>343</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25</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Cougar XT Hydro-Track®</v>
      </c>
      <c r="Y26" s="115" t="str">
        <f>IFERROR(INDEX(Расходка[Наименование расходного материала],MATCH(Расходка[[#This Row],[№]],Поиск_расходки[Индекс8],0)),"")</f>
        <v>Cougar XT Hydro-Track®</v>
      </c>
      <c r="Z26" s="115" t="str">
        <f>IFERROR(INDEX(Расходка[Наименование расходного материала],MATCH(Расходка[[#This Row],[№]],Поиск_расходки[Индекс9],0)),"")</f>
        <v>Cougar XT Hydro-Track®</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425</v>
      </c>
    </row>
    <row r="27" spans="1:35">
      <c r="A27">
        <f>ROW(Расходка[[#This Row],[Тип расходного материала ]])-1</f>
        <v>26</v>
      </c>
      <c r="B27" t="s">
        <v>3</v>
      </c>
      <c r="C27" t="s">
        <v>315</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26</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Fielder</v>
      </c>
      <c r="Y27" s="115" t="str">
        <f>IFERROR(INDEX(Расходка[Наименование расходного материала],MATCH(Расходка[[#This Row],[№]],Поиск_расходки[Индекс8],0)),"")</f>
        <v>Fielder</v>
      </c>
      <c r="Z27" s="115" t="str">
        <f>IFERROR(INDEX(Расходка[Наименование расходного материала],MATCH(Расходка[[#This Row],[№]],Поиск_расходки[Индекс9],0)),"")</f>
        <v>Fielder</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426</v>
      </c>
    </row>
    <row r="28" spans="1:35">
      <c r="A28">
        <f>ROW(Расходка[[#This Row],[Тип расходного материала ]])-1</f>
        <v>27</v>
      </c>
      <c r="B28" t="s">
        <v>3</v>
      </c>
      <c r="C28"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27</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Fielder XT-A</v>
      </c>
      <c r="Y28" s="115" t="str">
        <f>IFERROR(INDEX(Расходка[Наименование расходного материала],MATCH(Расходка[[#This Row],[№]],Поиск_расходки[Индекс8],0)),"")</f>
        <v>Fielder XT-A</v>
      </c>
      <c r="Z28" s="115" t="str">
        <f>IFERROR(INDEX(Расходка[Наименование расходного материала],MATCH(Расходка[[#This Row],[№]],Поиск_расходки[Индекс9],0)),"")</f>
        <v>Fielder XT-A</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427</v>
      </c>
    </row>
    <row r="29" spans="1:35">
      <c r="A29">
        <f>ROW(Расходка[[#This Row],[Тип расходного материала ]])-1</f>
        <v>28</v>
      </c>
      <c r="B29" t="s">
        <v>3</v>
      </c>
      <c r="C29" t="s">
        <v>374</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28</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Fielder XT-R</v>
      </c>
      <c r="Y29" s="115" t="str">
        <f>IFERROR(INDEX(Расходка[Наименование расходного материала],MATCH(Расходка[[#This Row],[№]],Поиск_расходки[Индекс8],0)),"")</f>
        <v>Fielder XT-R</v>
      </c>
      <c r="Z29" s="115" t="str">
        <f>IFERROR(INDEX(Расходка[Наименование расходного материала],MATCH(Расходка[[#This Row],[№]],Поиск_расходки[Индекс9],0)),"")</f>
        <v>Fielder XT-R</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428</v>
      </c>
    </row>
    <row r="30" spans="1:35">
      <c r="A30">
        <f>ROW(Расходка[[#This Row],[Тип расходного материала ]])-1</f>
        <v>29</v>
      </c>
      <c r="B30" t="s">
        <v>3</v>
      </c>
      <c r="C30" t="s">
        <v>512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29</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Asahi Gaia First</v>
      </c>
      <c r="Y30" s="115" t="str">
        <f>IFERROR(INDEX(Расходка[Наименование расходного материала],MATCH(Расходка[[#This Row],[№]],Поиск_расходки[Индекс8],0)),"")</f>
        <v>Asahi Gaia First</v>
      </c>
      <c r="Z30" s="115" t="str">
        <f>IFERROR(INDEX(Расходка[Наименование расходного материала],MATCH(Расходка[[#This Row],[№]],Поиск_расходки[Индекс9],0)),"")</f>
        <v>Asahi Gaia First</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490</v>
      </c>
    </row>
    <row r="31" spans="1:35">
      <c r="A31">
        <f>ROW(Расходка[[#This Row],[Тип расходного материала ]])-1</f>
        <v>30</v>
      </c>
      <c r="B31" t="s">
        <v>3</v>
      </c>
      <c r="C31" s="1" t="s">
        <v>513</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30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Asahi Gaia Second</v>
      </c>
      <c r="Y31" s="115" t="str">
        <f>IFERROR(INDEX(Расходка[Наименование расходного материала],MATCH(Расходка[[#This Row],[№]],Поиск_расходки[Индекс8],0)),"")</f>
        <v>Asahi Gaia Second</v>
      </c>
      <c r="Z31" s="115" t="str">
        <f>IFERROR(INDEX(Расходка[Наименование расходного материала],MATCH(Расходка[[#This Row],[№]],Поиск_расходки[Индекс9],0)),"")</f>
        <v>Asahi Gaia Second</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429</v>
      </c>
    </row>
    <row r="32" spans="1:35">
      <c r="A32">
        <f>ROW(Расходка[[#This Row],[Тип расходного материала ]])-1</f>
        <v>31</v>
      </c>
      <c r="B32" t="s">
        <v>3</v>
      </c>
      <c r="C32" s="1" t="s">
        <v>514</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31</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Asahi Gaia Third</v>
      </c>
      <c r="Y32" s="115" t="str">
        <f>IFERROR(INDEX(Расходка[Наименование расходного материала],MATCH(Расходка[[#This Row],[№]],Поиск_расходки[Индекс8],0)),"")</f>
        <v>Asahi Gaia Third</v>
      </c>
      <c r="Z32" s="115" t="str">
        <f>IFERROR(INDEX(Расходка[Наименование расходного материала],MATCH(Расходка[[#This Row],[№]],Поиск_расходки[Индекс9],0)),"")</f>
        <v>Asahi Gaia Third</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430</v>
      </c>
    </row>
    <row r="33" spans="1:33">
      <c r="A33">
        <f>ROW(Расходка[[#This Row],[Тип расходного материала ]])-1</f>
        <v>32</v>
      </c>
      <c r="B33" t="s">
        <v>3</v>
      </c>
      <c r="C33" s="1" t="s">
        <v>323</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32</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Intuition</v>
      </c>
      <c r="Y33" s="115" t="str">
        <f>IFERROR(INDEX(Расходка[Наименование расходного материала],MATCH(Расходка[[#This Row],[№]],Поиск_расходки[Индекс8],0)),"")</f>
        <v>Intuition</v>
      </c>
      <c r="Z33" s="115" t="str">
        <f>IFERROR(INDEX(Расходка[Наименование расходного материала],MATCH(Расходка[[#This Row],[№]],Поиск_расходки[Индекс9],0)),"")</f>
        <v>Intuition</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431</v>
      </c>
    </row>
    <row r="34" spans="1:33">
      <c r="A34">
        <f>ROW(Расходка[[#This Row],[Тип расходного материала ]])-1</f>
        <v>33</v>
      </c>
      <c r="B34" t="s">
        <v>3</v>
      </c>
      <c r="C34" t="s">
        <v>319</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33</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ProVia 3 Hydro-Track®</v>
      </c>
      <c r="Y34" s="115" t="str">
        <f>IFERROR(INDEX(Расходка[Наименование расходного материала],MATCH(Расходка[[#This Row],[№]],Поиск_расходки[Индекс8],0)),"")</f>
        <v>ProVia 3 Hydro-Track®</v>
      </c>
      <c r="Z34" s="115" t="str">
        <f>IFERROR(INDEX(Расходка[Наименование расходного материала],MATCH(Расходка[[#This Row],[№]],Поиск_расходки[Индекс9],0)),"")</f>
        <v>ProVia 3 Hydro-Track®</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432</v>
      </c>
    </row>
    <row r="35" spans="1:33">
      <c r="A35">
        <f>ROW(Расходка[[#This Row],[Тип расходного материала ]])-1</f>
        <v>34</v>
      </c>
      <c r="B35" t="s">
        <v>3</v>
      </c>
      <c r="C35" t="s">
        <v>320</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34</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ProVia 6 Hydro-Track®</v>
      </c>
      <c r="Y35" s="115" t="str">
        <f>IFERROR(INDEX(Расходка[Наименование расходного материала],MATCH(Расходка[[#This Row],[№]],Поиск_расходки[Индекс8],0)),"")</f>
        <v>ProVia 6 Hydro-Track®</v>
      </c>
      <c r="Z35" s="115" t="str">
        <f>IFERROR(INDEX(Расходка[Наименование расходного материала],MATCH(Расходка[[#This Row],[№]],Поиск_расходки[Индекс9],0)),"")</f>
        <v>ProVia 6 Hydro-Track®</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491</v>
      </c>
    </row>
    <row r="36" spans="1:33">
      <c r="A36">
        <f>ROW(Расходка[[#This Row],[Тип расходного материала ]])-1</f>
        <v>35</v>
      </c>
      <c r="B36" t="s">
        <v>3</v>
      </c>
      <c r="C36" t="s">
        <v>321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35</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ProVia 9 Hydro-Track®</v>
      </c>
      <c r="Y36" s="115" t="str">
        <f>IFERROR(INDEX(Расходка[Наименование расходного материала],MATCH(Расходка[[#This Row],[№]],Поиск_расходки[Индекс8],0)),"")</f>
        <v>ProVia 9 Hydro-Track®</v>
      </c>
      <c r="Z36" s="115" t="str">
        <f>IFERROR(INDEX(Расходка[Наименование расходного материала],MATCH(Расходка[[#This Row],[№]],Поиск_расходки[Индекс9],0)),"")</f>
        <v>ProVia 9 Hydro-Track®</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433</v>
      </c>
    </row>
    <row r="37" spans="1:33">
      <c r="A37">
        <f>ROW(Расходка[[#This Row],[Тип расходного материала ]])-1</f>
        <v>36</v>
      </c>
      <c r="B37" t="s">
        <v>3</v>
      </c>
      <c r="C37" t="s">
        <v>317</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36</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Rinato</v>
      </c>
      <c r="Y37" s="115" t="str">
        <f>IFERROR(INDEX(Расходка[Наименование расходного материала],MATCH(Расходка[[#This Row],[№]],Поиск_расходки[Индекс8],0)),"")</f>
        <v>Rinato</v>
      </c>
      <c r="Z37" s="115" t="str">
        <f>IFERROR(INDEX(Расходка[Наименование расходного материала],MATCH(Расходка[[#This Row],[№]],Поиск_расходки[Индекс9],0)),"")</f>
        <v>Rinato</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406</v>
      </c>
    </row>
    <row r="38" spans="1:33">
      <c r="A38">
        <f>ROW(Расходка[[#This Row],[Тип расходного материала ]])-1</f>
        <v>37</v>
      </c>
      <c r="B38" t="s">
        <v>3</v>
      </c>
      <c r="C38" s="1" t="s">
        <v>354</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37</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Runthrough NS (Floppy)</v>
      </c>
      <c r="Y38" s="115" t="str">
        <f>IFERROR(INDEX(Расходка[Наименование расходного материала],MATCH(Расходка[[#This Row],[№]],Поиск_расходки[Индекс8],0)),"")</f>
        <v>Runthrough NS (Floppy)</v>
      </c>
      <c r="Z38" s="115" t="str">
        <f>IFERROR(INDEX(Расходка[Наименование расходного материала],MATCH(Расходка[[#This Row],[№]],Поиск_расходки[Индекс9],0)),"")</f>
        <v>Runthrough NS (Floppy)</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493</v>
      </c>
    </row>
    <row r="39" spans="1:33">
      <c r="A39">
        <f>ROW(Расходка[[#This Row],[Тип расходного материала ]])-1</f>
        <v>38</v>
      </c>
      <c r="B39" t="s">
        <v>3</v>
      </c>
      <c r="C39" s="1" t="s">
        <v>361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38</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Runthrough NS Hypercoat</v>
      </c>
      <c r="Y39" s="115" t="str">
        <f>IFERROR(INDEX(Расходка[Наименование расходного материала],MATCH(Расходка[[#This Row],[№]],Поиск_расходки[Индекс8],0)),"")</f>
        <v>Runthrough NS Hypercoat</v>
      </c>
      <c r="Z39" s="115" t="str">
        <f>IFERROR(INDEX(Расходка[Наименование расходного материала],MATCH(Расходка[[#This Row],[№]],Поиск_расходки[Индекс9],0)),"")</f>
        <v>Runthrough NS Hypercoat</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434</v>
      </c>
    </row>
    <row r="40" spans="1:33">
      <c r="A40">
        <f>ROW(Расходка[[#This Row],[Тип расходного материала ]])-1</f>
        <v>39</v>
      </c>
      <c r="B40" t="s">
        <v>3</v>
      </c>
      <c r="C40" s="1" t="s">
        <v>360</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39</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Runthrough NS Intermediate</v>
      </c>
      <c r="Y40" s="115" t="str">
        <f>IFERROR(INDEX(Расходка[Наименование расходного материала],MATCH(Расходка[[#This Row],[№]],Поиск_расходки[Индекс8],0)),"")</f>
        <v>Runthrough NS Intermediate</v>
      </c>
      <c r="Z40" s="115" t="str">
        <f>IFERROR(INDEX(Расходка[Наименование расходного материала],MATCH(Расходка[[#This Row],[№]],Поиск_расходки[Индекс9],0)),"")</f>
        <v>Runthrough NS Intermediate</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435</v>
      </c>
    </row>
    <row r="41" spans="1:33">
      <c r="A41">
        <f>ROW(Расходка[[#This Row],[Тип расходного материала ]])-1</f>
        <v>40</v>
      </c>
      <c r="B41" t="s">
        <v>3</v>
      </c>
      <c r="C41" t="s">
        <v>316</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40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Sion</v>
      </c>
      <c r="Y41" s="115" t="str">
        <f>IFERROR(INDEX(Расходка[Наименование расходного материала],MATCH(Расходка[[#This Row],[№]],Поиск_расходки[Индекс8],0)),"")</f>
        <v>Sion</v>
      </c>
      <c r="Z41" s="115" t="str">
        <f>IFERROR(INDEX(Расходка[Наименование расходного материала],MATCH(Расходка[[#This Row],[№]],Поиск_расходки[Индекс9],0)),"")</f>
        <v>Sion</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436</v>
      </c>
    </row>
    <row r="42" spans="1:33">
      <c r="A42">
        <f>ROW(Расходка[[#This Row],[Тип расходного материала ]])-1</f>
        <v>41</v>
      </c>
      <c r="B42" t="s">
        <v>3</v>
      </c>
      <c r="C42" t="s">
        <v>378</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41</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Sion Black</v>
      </c>
      <c r="Y42" s="115" t="str">
        <f>IFERROR(INDEX(Расходка[Наименование расходного материала],MATCH(Расходка[[#This Row],[№]],Поиск_расходки[Индекс8],0)),"")</f>
        <v>Sion Black</v>
      </c>
      <c r="Z42" s="115" t="str">
        <f>IFERROR(INDEX(Расходка[Наименование расходного материала],MATCH(Расходка[[#This Row],[№]],Поиск_расходки[Индекс9],0)),"")</f>
        <v>Sion Black</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437</v>
      </c>
    </row>
    <row r="43" spans="1:33">
      <c r="A43">
        <f>ROW(Расходка[[#This Row],[Тип расходного материала ]])-1</f>
        <v>42</v>
      </c>
      <c r="B43" t="s">
        <v>3</v>
      </c>
      <c r="C43" s="1" t="s">
        <v>372</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42</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Sion Blue</v>
      </c>
      <c r="Y43" s="115" t="str">
        <f>IFERROR(INDEX(Расходка[Наименование расходного материала],MATCH(Расходка[[#This Row],[№]],Поиск_расходки[Индекс8],0)),"")</f>
        <v>Sion Blue</v>
      </c>
      <c r="Z43" s="115" t="str">
        <f>IFERROR(INDEX(Расходка[Наименование расходного материала],MATCH(Расходка[[#This Row],[№]],Поиск_расходки[Индекс9],0)),"")</f>
        <v>Sion Blue</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410</v>
      </c>
    </row>
    <row r="44" spans="1:33">
      <c r="A44">
        <f>ROW(Расходка[[#This Row],[Тип расходного материала ]])-1</f>
        <v>43</v>
      </c>
      <c r="B44" t="s">
        <v>3</v>
      </c>
      <c r="C44" t="s">
        <v>318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43</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Thunder</v>
      </c>
      <c r="Y44" s="115" t="str">
        <f>IFERROR(INDEX(Расходка[Наименование расходного материала],MATCH(Расходка[[#This Row],[№]],Поиск_расходки[Индекс8],0)),"")</f>
        <v>Thunder</v>
      </c>
      <c r="Z44" s="115" t="str">
        <f>IFERROR(INDEX(Расходка[Наименование расходного материала],MATCH(Расходка[[#This Row],[№]],Поиск_расходки[Индекс9],0)),"")</f>
        <v>Thunder</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438</v>
      </c>
    </row>
    <row r="45" spans="1:33">
      <c r="A45">
        <f>ROW(Расходка[[#This Row],[Тип расходного материала ]])-1</f>
        <v>44</v>
      </c>
      <c r="B45" t="s">
        <v>3</v>
      </c>
      <c r="C45" t="s">
        <v>522</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44</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Abbot Whisper MS</v>
      </c>
      <c r="Y45" s="115" t="str">
        <f>IFERROR(INDEX(Расходка[Наименование расходного материала],MATCH(Расходка[[#This Row],[№]],Поиск_расходки[Индекс8],0)),"")</f>
        <v>Abbot Whisper MS</v>
      </c>
      <c r="Z45" s="115" t="str">
        <f>IFERROR(INDEX(Расходка[Наименование расходного материала],MATCH(Расходка[[#This Row],[№]],Поиск_расходки[Индекс9],0)),"")</f>
        <v>Abbot Whisper MS</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439</v>
      </c>
    </row>
    <row r="46" spans="1:33">
      <c r="A46">
        <f>ROW(Расходка[[#This Row],[Тип расходного материала ]])-1</f>
        <v>45</v>
      </c>
      <c r="B46" t="s">
        <v>3</v>
      </c>
      <c r="C46" t="s">
        <v>523</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45</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Abbot Whisper LS</v>
      </c>
      <c r="Y46" s="115" t="str">
        <f>IFERROR(INDEX(Расходка[Наименование расходного материала],MATCH(Расходка[[#This Row],[№]],Поиск_расходки[Индекс8],0)),"")</f>
        <v>Abbot Whisper LS</v>
      </c>
      <c r="Z46" s="115" t="str">
        <f>IFERROR(INDEX(Расходка[Наименование расходного материала],MATCH(Расходка[[#This Row],[№]],Поиск_расходки[Индекс9],0)),"")</f>
        <v>Abbot Whisper LS</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440</v>
      </c>
    </row>
    <row r="47" spans="1:33">
      <c r="A47">
        <f>ROW(Расходка[[#This Row],[Тип расходного материала ]])-1</f>
        <v>46</v>
      </c>
      <c r="B47" t="s">
        <v>3</v>
      </c>
      <c r="C47" t="s">
        <v>362</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46</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Winn 200T</v>
      </c>
      <c r="Y47" s="115" t="str">
        <f>IFERROR(INDEX(Расходка[Наименование расходного материала],MATCH(Расходка[[#This Row],[№]],Поиск_расходки[Индекс8],0)),"")</f>
        <v>Winn 200T</v>
      </c>
      <c r="Z47" s="115" t="str">
        <f>IFERROR(INDEX(Расходка[Наименование расходного материала],MATCH(Расходка[[#This Row],[№]],Поиск_расходки[Индекс9],0)),"")</f>
        <v>Winn 200T</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441</v>
      </c>
    </row>
    <row r="48" spans="1:33">
      <c r="A48">
        <f>ROW(Расходка[[#This Row],[Тип расходного материала ]])-1</f>
        <v>47</v>
      </c>
      <c r="B48" t="s">
        <v>3</v>
      </c>
      <c r="C48" t="s">
        <v>347</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47</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Проводник коронарный  1g, Angioline</v>
      </c>
      <c r="Y48" s="115" t="str">
        <f>IFERROR(INDEX(Расходка[Наименование расходного материала],MATCH(Расходка[[#This Row],[№]],Поиск_расходки[Индекс8],0)),"")</f>
        <v>Проводник коронарный  1g, Angioline</v>
      </c>
      <c r="Z48" s="115" t="str">
        <f>IFERROR(INDEX(Расходка[Наименование расходного материала],MATCH(Расходка[[#This Row],[№]],Поиск_расходки[Индекс9],0)),"")</f>
        <v>Проводник коронарный  1g, Angioline</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442</v>
      </c>
    </row>
    <row r="49" spans="1:33">
      <c r="A49">
        <f>ROW(Расходка[[#This Row],[Тип расходного материала ]])-1</f>
        <v>48</v>
      </c>
      <c r="B49" t="s">
        <v>3</v>
      </c>
      <c r="C49" t="s">
        <v>511</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48</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Проводник коронарный  0,8g, Angioline</v>
      </c>
      <c r="Y49" s="115" t="str">
        <f>IFERROR(INDEX(Расходка[Наименование расходного материала],MATCH(Расходка[[#This Row],[№]],Поиск_расходки[Индекс8],0)),"")</f>
        <v>Проводник коронарный  0,8g, Angioline</v>
      </c>
      <c r="Z49" s="115" t="str">
        <f>IFERROR(INDEX(Расходка[Наименование расходного материала],MATCH(Расходка[[#This Row],[№]],Поиск_расходки[Индекс9],0)),"")</f>
        <v>Проводник коронарный  0,8g, Angioline</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443</v>
      </c>
    </row>
    <row r="50" spans="1:33">
      <c r="A50">
        <f>ROW(Расходка[[#This Row],[Тип расходного материала ]])-1</f>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49</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Проводник коронарный  3g, Angioline</v>
      </c>
      <c r="Y50" s="115" t="str">
        <f>IFERROR(INDEX(Расходка[Наименование расходного материала],MATCH(Расходка[[#This Row],[№]],Поиск_расходки[Индекс8],0)),"")</f>
        <v>Проводник коронарный  3g, Angioline</v>
      </c>
      <c r="Z50" s="115" t="str">
        <f>IFERROR(INDEX(Расходка[Наименование расходного материала],MATCH(Расходка[[#This Row],[№]],Поиск_расходки[Индекс9],0)),"")</f>
        <v>Проводник коронарный  3g, Angioline</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444</v>
      </c>
    </row>
    <row r="51" spans="1:33">
      <c r="A51">
        <f>ROW(Расходка[[#This Row],[Тип расходного материала ]])-1</f>
        <v>50</v>
      </c>
      <c r="B51" t="s">
        <v>3</v>
      </c>
      <c r="C51" t="s">
        <v>509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50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xml:space="preserve">Balancium </v>
      </c>
      <c r="Y51" s="115" t="str">
        <f>IFERROR(INDEX(Расходка[Наименование расходного материала],MATCH(Расходка[[#This Row],[№]],Поиск_расходки[Индекс8],0)),"")</f>
        <v xml:space="preserve">Balancium </v>
      </c>
      <c r="Z51" s="115" t="str">
        <f>IFERROR(INDEX(Расходка[Наименование расходного материала],MATCH(Расходка[[#This Row],[№]],Поиск_расходки[Индекс9],0)),"")</f>
        <v xml:space="preserve">Balancium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445</v>
      </c>
    </row>
    <row r="52" spans="1:33">
      <c r="A52">
        <f>ROW(Расходка[[#This Row],[Тип расходного материала ]])-1</f>
        <v>51</v>
      </c>
      <c r="B52" t="s">
        <v>3</v>
      </c>
      <c r="C52" t="s">
        <v>520</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1</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51</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Shunmei</v>
      </c>
      <c r="Y52" s="115" t="str">
        <f>IFERROR(INDEX(Расходка[Наименование расходного материала],MATCH(Расходка[[#This Row],[№]],Поиск_расходки[Индекс8],0)),"")</f>
        <v>Shunmei</v>
      </c>
      <c r="Z52" s="115" t="str">
        <f>IFERROR(INDEX(Расходка[Наименование расходного материала],MATCH(Расходка[[#This Row],[№]],Поиск_расходки[Индекс9],0)),"")</f>
        <v>Shunmei</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446</v>
      </c>
    </row>
    <row r="53" spans="1:33">
      <c r="A53">
        <f>ROW(Расходка[[#This Row],[Тип расходного материала ]])-1</f>
        <v>52</v>
      </c>
      <c r="B53" t="s">
        <v>3</v>
      </c>
      <c r="C53" t="s">
        <v>526</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52</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Pilot 150</v>
      </c>
      <c r="Y53" s="115" t="str">
        <f>IFERROR(INDEX(Расходка[Наименование расходного материала],MATCH(Расходка[[#This Row],[№]],Поиск_расходки[Индекс8],0)),"")</f>
        <v>Pilot 150</v>
      </c>
      <c r="Z53" s="115" t="str">
        <f>IFERROR(INDEX(Расходка[Наименование расходного материала],MATCH(Расходка[[#This Row],[№]],Поиск_расходки[Индекс9],0)),"")</f>
        <v>Pilot 150</v>
      </c>
      <c r="AA53" s="115" t="str">
        <f>IFERROR(INDEX(Расходка[Наименование расходного материала],MATCH(Расходка[[#This Row],[№]],Поиск_расходки[Индекс10],0)),"")</f>
        <v>Pilot 150</v>
      </c>
      <c r="AB53" s="115" t="str">
        <f>IFERROR(INDEX(Расходка[Наименование расходного материала],MATCH(Расходка[[#This Row],[№]],Поиск_расходки[Индекс11],0)),"")</f>
        <v>Pilot 150</v>
      </c>
      <c r="AC53" s="115" t="str">
        <f>IFERROR(INDEX(Расходка[Наименование расходного материала],MATCH(Расходка[[#This Row],[№]],Поиск_расходки[Индекс12],0)),"")</f>
        <v>Pilot 150</v>
      </c>
      <c r="AD53" s="115" t="str">
        <f>IFERROR(INDEX(Расходка[Наименование расходного материала],MATCH(Расходка[[#This Row],[№]],Поиск_расходки[Индекс13],0)),"")</f>
        <v>Pilot 150</v>
      </c>
      <c r="AF53" s="4" t="s">
        <v>6</v>
      </c>
      <c r="AG53" s="4" t="s">
        <v>447</v>
      </c>
    </row>
    <row r="54" spans="1:33">
      <c r="A54">
        <f>ROW(Расходка[[#This Row],[Тип расходного материала ]])-1</f>
        <v>53</v>
      </c>
      <c r="B54" t="s">
        <v>6</v>
      </c>
      <c r="C54" s="1" t="s">
        <v>278</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53</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BMS, Integtity</v>
      </c>
      <c r="Y54" s="115" t="str">
        <f>IFERROR(INDEX(Расходка[Наименование расходного материала],MATCH(Расходка[[#This Row],[№]],Поиск_расходки[Индекс8],0)),"")</f>
        <v>BMS, Integtity</v>
      </c>
      <c r="Z54" s="115" t="str">
        <f>IFERROR(INDEX(Расходка[Наименование расходного материала],MATCH(Расходка[[#This Row],[№]],Поиск_расходки[Индекс9],0)),"")</f>
        <v>BMS, Integtity</v>
      </c>
      <c r="AA54" s="115" t="str">
        <f>IFERROR(INDEX(Расходка[Наименование расходного материала],MATCH(Расходка[[#This Row],[№]],Поиск_расходки[Индекс10],0)),"")</f>
        <v>BMS, Integtity</v>
      </c>
      <c r="AB54" s="115" t="str">
        <f>IFERROR(INDEX(Расходка[Наименование расходного материала],MATCH(Расходка[[#This Row],[№]],Поиск_расходки[Индекс11],0)),"")</f>
        <v>BMS, Integtity</v>
      </c>
      <c r="AC54" s="115" t="str">
        <f>IFERROR(INDEX(Расходка[Наименование расходного материала],MATCH(Расходка[[#This Row],[№]],Поиск_расходки[Индекс12],0)),"")</f>
        <v>BMS, Integtity</v>
      </c>
      <c r="AD54" s="115" t="str">
        <f>IFERROR(INDEX(Расходка[Наименование расходного материала],MATCH(Расходка[[#This Row],[№]],Поиск_расходки[Индекс13],0)),"")</f>
        <v>BMS, Integtity</v>
      </c>
      <c r="AF54" s="4" t="s">
        <v>6</v>
      </c>
      <c r="AG54" s="4" t="s">
        <v>448</v>
      </c>
    </row>
    <row r="55" spans="1:33">
      <c r="A55">
        <f>ROW(Расходка[[#This Row],[Тип расходного материала ]])-1</f>
        <v>54</v>
      </c>
      <c r="B55" t="s">
        <v>6</v>
      </c>
      <c r="C55" s="157" t="s">
        <v>346</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54</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DES, Calipso</v>
      </c>
      <c r="Y55" s="115" t="str">
        <f>IFERROR(INDEX(Расходка[Наименование расходного материала],MATCH(Расходка[[#This Row],[№]],Поиск_расходки[Индекс8],0)),"")</f>
        <v>DES, Calipso</v>
      </c>
      <c r="Z55" s="115" t="str">
        <f>IFERROR(INDEX(Расходка[Наименование расходного материала],MATCH(Расходка[[#This Row],[№]],Поиск_расходки[Индекс9],0)),"")</f>
        <v>DES, Calipso</v>
      </c>
      <c r="AA55" s="115" t="str">
        <f>IFERROR(INDEX(Расходка[Наименование расходного материала],MATCH(Расходка[[#This Row],[№]],Поиск_расходки[Индекс10],0)),"")</f>
        <v>DES, Calipso</v>
      </c>
      <c r="AB55" s="115" t="str">
        <f>IFERROR(INDEX(Расходка[Наименование расходного материала],MATCH(Расходка[[#This Row],[№]],Поиск_расходки[Индекс11],0)),"")</f>
        <v>DES, Calipso</v>
      </c>
      <c r="AC55" s="115" t="str">
        <f>IFERROR(INDEX(Расходка[Наименование расходного материала],MATCH(Расходка[[#This Row],[№]],Поиск_расходки[Индекс12],0)),"")</f>
        <v>DES, Calipso</v>
      </c>
      <c r="AD55" s="115" t="str">
        <f>IFERROR(INDEX(Расходка[Наименование расходного материала],MATCH(Расходка[[#This Row],[№]],Поиск_расходки[Индекс13],0)),"")</f>
        <v>DES, Calipso</v>
      </c>
      <c r="AF55" s="4" t="s">
        <v>6</v>
      </c>
      <c r="AG55" s="4" t="s">
        <v>449</v>
      </c>
    </row>
    <row r="56" spans="1:33">
      <c r="A56">
        <f>ROW(Расходка[[#This Row],[Тип расходного материала ]])-1</f>
        <v>55</v>
      </c>
      <c r="B56" t="s">
        <v>6</v>
      </c>
      <c r="C56" s="157" t="s">
        <v>345</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55</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DES, NanoMed</v>
      </c>
      <c r="Y56" s="115" t="str">
        <f>IFERROR(INDEX(Расходка[Наименование расходного материала],MATCH(Расходка[[#This Row],[№]],Поиск_расходки[Индекс8],0)),"")</f>
        <v>DES, NanoMed</v>
      </c>
      <c r="Z56" s="115" t="str">
        <f>IFERROR(INDEX(Расходка[Наименование расходного материала],MATCH(Расходка[[#This Row],[№]],Поиск_расходки[Индекс9],0)),"")</f>
        <v>DES, NanoMed</v>
      </c>
      <c r="AA56" s="115" t="str">
        <f>IFERROR(INDEX(Расходка[Наименование расходного материала],MATCH(Расходка[[#This Row],[№]],Поиск_расходки[Индекс10],0)),"")</f>
        <v>DES, NanoMed</v>
      </c>
      <c r="AB56" s="115" t="str">
        <f>IFERROR(INDEX(Расходка[Наименование расходного материала],MATCH(Расходка[[#This Row],[№]],Поиск_расходки[Индекс11],0)),"")</f>
        <v>DES, NanoMed</v>
      </c>
      <c r="AC56" s="115" t="str">
        <f>IFERROR(INDEX(Расходка[Наименование расходного материала],MATCH(Расходка[[#This Row],[№]],Поиск_расходки[Индекс12],0)),"")</f>
        <v>DES, NanoMed</v>
      </c>
      <c r="AD56" s="115" t="str">
        <f>IFERROR(INDEX(Расходка[Наименование расходного материала],MATCH(Расходка[[#This Row],[№]],Поиск_расходки[Индекс13],0)),"")</f>
        <v>DES, NanoMed</v>
      </c>
      <c r="AF56" s="4" t="s">
        <v>6</v>
      </c>
      <c r="AG56" s="4" t="s">
        <v>450</v>
      </c>
    </row>
    <row r="57" spans="1:33">
      <c r="A57">
        <f>ROW(Расходка[[#This Row],[Тип расходного материала ]])-1</f>
        <v>56</v>
      </c>
      <c r="B57" t="s">
        <v>6</v>
      </c>
      <c r="C57" s="130" t="s">
        <v>324</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1</v>
      </c>
      <c r="J57" s="116">
        <f>IF(ISNUMBER(SEARCH('Карта учёта'!$B$18,Расходка[[#This Row],[Наименование расходного материала]])),MAX($J$1:J56)+1,0)</f>
        <v>1</v>
      </c>
      <c r="K57" s="116">
        <f>IF(ISNUMBER(SEARCH('Карта учёта'!$B$19,Расходка[[#This Row],[Наименование расходного материала]])),MAX($K$1:K56)+1,0)</f>
        <v>56</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DES, Resolute Integtity</v>
      </c>
      <c r="Y57" s="115" t="str">
        <f>IFERROR(INDEX(Расходка[Наименование расходного материала],MATCH(Расходка[[#This Row],[№]],Поиск_расходки[Индекс8],0)),"")</f>
        <v>DES, Resolute Integtity</v>
      </c>
      <c r="Z57" s="115" t="str">
        <f>IFERROR(INDEX(Расходка[Наименование расходного материала],MATCH(Расходка[[#This Row],[№]],Поиск_расходки[Индекс9],0)),"")</f>
        <v>DES, Resolute Integtity</v>
      </c>
      <c r="AA57" s="115" t="str">
        <f>IFERROR(INDEX(Расходка[Наименование расходного материала],MATCH(Расходка[[#This Row],[№]],Поиск_расходки[Индекс10],0)),"")</f>
        <v>DES, Resolute Integtity</v>
      </c>
      <c r="AB57" s="115" t="str">
        <f>IFERROR(INDEX(Расходка[Наименование расходного материала],MATCH(Расходка[[#This Row],[№]],Поиск_расходки[Индекс11],0)),"")</f>
        <v>DES, Resolute Integtity</v>
      </c>
      <c r="AC57" s="115" t="str">
        <f>IFERROR(INDEX(Расходка[Наименование расходного материала],MATCH(Расходка[[#This Row],[№]],Поиск_расходки[Индекс12],0)),"")</f>
        <v>DES, Resolute Integtity</v>
      </c>
      <c r="AD57" s="115" t="str">
        <f>IFERROR(INDEX(Расходка[Наименование расходного материала],MATCH(Расходка[[#This Row],[№]],Поиск_расходки[Индекс13],0)),"")</f>
        <v>DES, Resolute Integtity</v>
      </c>
      <c r="AF57" s="4" t="s">
        <v>6</v>
      </c>
      <c r="AG57" s="4" t="s">
        <v>451</v>
      </c>
    </row>
    <row r="58" spans="1:33">
      <c r="A58">
        <f>ROW(Расходка[[#This Row],[Тип расходного материала ]])-1</f>
        <v>57</v>
      </c>
      <c r="B58" t="s">
        <v>6</v>
      </c>
      <c r="C58" t="s">
        <v>358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57</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DES, Yukon Chrome PC</v>
      </c>
      <c r="Y58" s="115" t="str">
        <f>IFERROR(INDEX(Расходка[Наименование расходного материала],MATCH(Расходка[[#This Row],[№]],Поиск_расходки[Индекс8],0)),"")</f>
        <v>DES, Yukon Chrome PC</v>
      </c>
      <c r="Z58" s="115" t="str">
        <f>IFERROR(INDEX(Расходка[Наименование расходного материала],MATCH(Расходка[[#This Row],[№]],Поиск_расходки[Индекс9],0)),"")</f>
        <v>DES, Yukon Chrome PC</v>
      </c>
      <c r="AA58" s="115" t="str">
        <f>IFERROR(INDEX(Расходка[Наименование расходного материала],MATCH(Расходка[[#This Row],[№]],Поиск_расходки[Индекс10],0)),"")</f>
        <v>DES, Yukon Chrome PC</v>
      </c>
      <c r="AB58" s="115" t="str">
        <f>IFERROR(INDEX(Расходка[Наименование расходного материала],MATCH(Расходка[[#This Row],[№]],Поиск_расходки[Индекс11],0)),"")</f>
        <v>DES, Yukon Chrome PC</v>
      </c>
      <c r="AC58" s="115" t="str">
        <f>IFERROR(INDEX(Расходка[Наименование расходного материала],MATCH(Расходка[[#This Row],[№]],Поиск_расходки[Индекс12],0)),"")</f>
        <v>DES, Yukon Chrome PC</v>
      </c>
      <c r="AD58" s="115" t="str">
        <f>IFERROR(INDEX(Расходка[Наименование расходного материала],MATCH(Расходка[[#This Row],[№]],Поиск_расходки[Индекс13],0)),"")</f>
        <v>DES, Yukon Chrome PC</v>
      </c>
      <c r="AF58" s="4" t="s">
        <v>6</v>
      </c>
      <c r="AG58" s="4" t="s">
        <v>452</v>
      </c>
    </row>
    <row r="59" spans="1:33">
      <c r="A59">
        <f>ROW(Расходка[[#This Row],[Тип расходного материала ]])-1</f>
        <v>58</v>
      </c>
      <c r="B59" t="s">
        <v>6</v>
      </c>
      <c r="C59" s="161" t="s">
        <v>386</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58</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DES, Firehawk</v>
      </c>
      <c r="Y59" s="115" t="str">
        <f>IFERROR(INDEX(Расходка[Наименование расходного материала],MATCH(Расходка[[#This Row],[№]],Поиск_расходки[Индекс8],0)),"")</f>
        <v>DES, Firehawk</v>
      </c>
      <c r="Z59" s="115" t="str">
        <f>IFERROR(INDEX(Расходка[Наименование расходного материала],MATCH(Расходка[[#This Row],[№]],Поиск_расходки[Индекс9],0)),"")</f>
        <v>DES, Firehawk</v>
      </c>
      <c r="AA59" s="115" t="str">
        <f>IFERROR(INDEX(Расходка[Наименование расходного материала],MATCH(Расходка[[#This Row],[№]],Поиск_расходки[Индекс10],0)),"")</f>
        <v>DES, Firehawk</v>
      </c>
      <c r="AB59" s="115" t="str">
        <f>IFERROR(INDEX(Расходка[Наименование расходного материала],MATCH(Расходка[[#This Row],[№]],Поиск_расходки[Индекс11],0)),"")</f>
        <v>DES, Firehawk</v>
      </c>
      <c r="AC59" s="115" t="str">
        <f>IFERROR(INDEX(Расходка[Наименование расходного материала],MATCH(Расходка[[#This Row],[№]],Поиск_расходки[Индекс12],0)),"")</f>
        <v>DES, Firehawk</v>
      </c>
      <c r="AD59" s="115" t="str">
        <f>IFERROR(INDEX(Расходка[Наименование расходного материала],MATCH(Расходка[[#This Row],[№]],Поиск_расходки[Индекс13],0)),"")</f>
        <v>DES, Firehawk</v>
      </c>
      <c r="AF59" s="4" t="s">
        <v>6</v>
      </c>
      <c r="AG59" s="4" t="s">
        <v>453</v>
      </c>
    </row>
    <row r="60" spans="1:33">
      <c r="A60">
        <f>ROW(Расходка[[#This Row],[Тип расходного материала ]])-1</f>
        <v>59</v>
      </c>
      <c r="B60" t="s">
        <v>6</v>
      </c>
      <c r="C60" t="s">
        <v>385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59</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DES, Resolute Onyx</v>
      </c>
      <c r="Y60" s="115" t="str">
        <f>IFERROR(INDEX(Расходка[Наименование расходного материала],MATCH(Расходка[[#This Row],[№]],Поиск_расходки[Индекс8],0)),"")</f>
        <v>DES, Resolute Onyx</v>
      </c>
      <c r="Z60" s="115" t="str">
        <f>IFERROR(INDEX(Расходка[Наименование расходного материала],MATCH(Расходка[[#This Row],[№]],Поиск_расходки[Индекс9],0)),"")</f>
        <v>DES, Resolute Onyx</v>
      </c>
      <c r="AA60" s="115" t="str">
        <f>IFERROR(INDEX(Расходка[Наименование расходного материала],MATCH(Расходка[[#This Row],[№]],Поиск_расходки[Индекс10],0)),"")</f>
        <v>DES, Resolute Onyx</v>
      </c>
      <c r="AB60" s="115" t="str">
        <f>IFERROR(INDEX(Расходка[Наименование расходного материала],MATCH(Расходка[[#This Row],[№]],Поиск_расходки[Индекс11],0)),"")</f>
        <v>DES, Resolute Onyx</v>
      </c>
      <c r="AC60" s="115" t="str">
        <f>IFERROR(INDEX(Расходка[Наименование расходного материала],MATCH(Расходка[[#This Row],[№]],Поиск_расходки[Индекс12],0)),"")</f>
        <v>DES, Resolute Onyx</v>
      </c>
      <c r="AD60" s="115" t="str">
        <f>IFERROR(INDEX(Расходка[Наименование расходного материала],MATCH(Расходка[[#This Row],[№]],Поиск_расходки[Индекс13],0)),"")</f>
        <v>DES, Resolute Onyx</v>
      </c>
      <c r="AF60" s="4" t="s">
        <v>6</v>
      </c>
      <c r="AG60" s="4" t="s">
        <v>454</v>
      </c>
    </row>
    <row r="61" spans="1:33">
      <c r="A61">
        <f>ROW(Расходка[[#This Row],[Тип расходного материала ]])-1</f>
        <v>60</v>
      </c>
      <c r="B61" t="s">
        <v>6</v>
      </c>
      <c r="C61" t="s">
        <v>518</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60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DES, Калипсо</v>
      </c>
      <c r="Y61" s="115" t="str">
        <f>IFERROR(INDEX(Расходка[Наименование расходного материала],MATCH(Расходка[[#This Row],[№]],Поиск_расходки[Индекс8],0)),"")</f>
        <v>DES, Калипсо</v>
      </c>
      <c r="Z61" s="115" t="str">
        <f>IFERROR(INDEX(Расходка[Наименование расходного материала],MATCH(Расходка[[#This Row],[№]],Поиск_расходки[Индекс9],0)),"")</f>
        <v>DES, Калипсо</v>
      </c>
      <c r="AA61" s="115" t="str">
        <f>IFERROR(INDEX(Расходка[Наименование расходного материала],MATCH(Расходка[[#This Row],[№]],Поиск_расходки[Индекс10],0)),"")</f>
        <v>DES, Калипсо</v>
      </c>
      <c r="AB61" s="115" t="str">
        <f>IFERROR(INDEX(Расходка[Наименование расходного материала],MATCH(Расходка[[#This Row],[№]],Поиск_расходки[Индекс11],0)),"")</f>
        <v>DES, Калипсо</v>
      </c>
      <c r="AC61" s="115" t="str">
        <f>IFERROR(INDEX(Расходка[Наименование расходного материала],MATCH(Расходка[[#This Row],[№]],Поиск_расходки[Индекс12],0)),"")</f>
        <v>DES, Калипсо</v>
      </c>
      <c r="AD61" s="115" t="str">
        <f>IFERROR(INDEX(Расходка[Наименование расходного материала],MATCH(Расходка[[#This Row],[№]],Поиск_расходки[Индекс13],0)),"")</f>
        <v>DES, Калипсо</v>
      </c>
      <c r="AF61" s="4" t="s">
        <v>6</v>
      </c>
      <c r="AG61" s="4" t="s">
        <v>415</v>
      </c>
    </row>
    <row r="62" spans="1:33">
      <c r="A62">
        <f>ROW(Расходка[[#This Row],[Тип расходного материала ]])-1</f>
        <v>61</v>
      </c>
      <c r="B62" t="s">
        <v>6</v>
      </c>
      <c r="C62" t="s">
        <v>519</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61</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Meril Evermine50™</v>
      </c>
      <c r="Y62" s="115" t="str">
        <f>IFERROR(INDEX(Расходка[Наименование расходного материала],MATCH(Расходка[[#This Row],[№]],Поиск_расходки[Индекс8],0)),"")</f>
        <v>Meril Evermine50™</v>
      </c>
      <c r="Z62" s="115" t="str">
        <f>IFERROR(INDEX(Расходка[Наименование расходного материала],MATCH(Расходка[[#This Row],[№]],Поиск_расходки[Индекс9],0)),"")</f>
        <v>Meril Evermine50™</v>
      </c>
      <c r="AA62" s="115" t="str">
        <f>IFERROR(INDEX(Расходка[Наименование расходного материала],MATCH(Расходка[[#This Row],[№]],Поиск_расходки[Индекс10],0)),"")</f>
        <v>Meril Evermine50™</v>
      </c>
      <c r="AB62" s="115" t="str">
        <f>IFERROR(INDEX(Расходка[Наименование расходного материала],MATCH(Расходка[[#This Row],[№]],Поиск_расходки[Индекс11],0)),"")</f>
        <v>Meril Evermine50™</v>
      </c>
      <c r="AC62" s="115" t="str">
        <f>IFERROR(INDEX(Расходка[Наименование расходного материала],MATCH(Расходка[[#This Row],[№]],Поиск_расходки[Индекс12],0)),"")</f>
        <v>Meril Evermine50™</v>
      </c>
      <c r="AD62" s="115" t="str">
        <f>IFERROR(INDEX(Расходка[Наименование расходного материала],MATCH(Расходка[[#This Row],[№]],Поиск_расходки[Индекс13],0)),"")</f>
        <v>Meril Evermine50™</v>
      </c>
      <c r="AF62" s="4" t="s">
        <v>6</v>
      </c>
      <c r="AG62" s="4" t="s">
        <v>455</v>
      </c>
    </row>
    <row r="63" spans="1:33">
      <c r="A63">
        <f>ROW(Расходка[[#This Row],[Тип расходного материала ]])-1</f>
        <v>62</v>
      </c>
      <c r="B63" t="s">
        <v>95</v>
      </c>
      <c r="C63" s="1" t="s">
        <v>325</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62</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Guidezilla™ II 6F</v>
      </c>
      <c r="Y63" s="115" t="str">
        <f>IFERROR(INDEX(Расходка[Наименование расходного материала],MATCH(Расходка[[#This Row],[№]],Поиск_расходки[Индекс8],0)),"")</f>
        <v>Guidezilla™ II 6F</v>
      </c>
      <c r="Z63" s="115" t="str">
        <f>IFERROR(INDEX(Расходка[Наименование расходного материала],MATCH(Расходка[[#This Row],[№]],Поиск_расходки[Индекс9],0)),"")</f>
        <v>Guidezilla™ II 6F</v>
      </c>
      <c r="AA63" s="115" t="str">
        <f>IFERROR(INDEX(Расходка[Наименование расходного материала],MATCH(Расходка[[#This Row],[№]],Поиск_расходки[Индекс10],0)),"")</f>
        <v>Guidezilla™ II 6F</v>
      </c>
      <c r="AB63" s="115" t="str">
        <f>IFERROR(INDEX(Расходка[Наименование расходного материала],MATCH(Расходка[[#This Row],[№]],Поиск_расходки[Индекс11],0)),"")</f>
        <v>Guidezilla™ II 6F</v>
      </c>
      <c r="AC63" s="115" t="str">
        <f>IFERROR(INDEX(Расходка[Наименование расходного материала],MATCH(Расходка[[#This Row],[№]],Поиск_расходки[Индекс12],0)),"")</f>
        <v>Guidezilla™ II 6F</v>
      </c>
      <c r="AD63" s="115" t="str">
        <f>IFERROR(INDEX(Расходка[Наименование расходного материала],MATCH(Расходка[[#This Row],[№]],Поиск_расходки[Индекс13],0)),"")</f>
        <v>Guidezilla™ II 6F</v>
      </c>
      <c r="AF63" s="4" t="s">
        <v>6</v>
      </c>
      <c r="AG63" s="4" t="s">
        <v>456</v>
      </c>
    </row>
    <row r="64" spans="1:33">
      <c r="A64">
        <f>ROW(Расходка[[#This Row],[Тип расходного материала ]])-1</f>
        <v>63</v>
      </c>
      <c r="B64" t="s">
        <v>95</v>
      </c>
      <c r="C64" s="1" t="s">
        <v>344</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63</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Telescope ™ II 6F</v>
      </c>
      <c r="Y64" s="115" t="str">
        <f>IFERROR(INDEX(Расходка[Наименование расходного материала],MATCH(Расходка[[#This Row],[№]],Поиск_расходки[Индекс8],0)),"")</f>
        <v>Telescope ™ II 6F</v>
      </c>
      <c r="Z64" s="115" t="str">
        <f>IFERROR(INDEX(Расходка[Наименование расходного материала],MATCH(Расходка[[#This Row],[№]],Поиск_расходки[Индекс9],0)),"")</f>
        <v>Telescope ™ II 6F</v>
      </c>
      <c r="AA64" s="115" t="str">
        <f>IFERROR(INDEX(Расходка[Наименование расходного материала],MATCH(Расходка[[#This Row],[№]],Поиск_расходки[Индекс10],0)),"")</f>
        <v>Telescope ™ II 6F</v>
      </c>
      <c r="AB64" s="115" t="str">
        <f>IFERROR(INDEX(Расходка[Наименование расходного материала],MATCH(Расходка[[#This Row],[№]],Поиск_расходки[Индекс11],0)),"")</f>
        <v>Telescope ™ II 6F</v>
      </c>
      <c r="AC64" s="115" t="str">
        <f>IFERROR(INDEX(Расходка[Наименование расходного материала],MATCH(Расходка[[#This Row],[№]],Поиск_расходки[Индекс12],0)),"")</f>
        <v>Telescope ™ II 6F</v>
      </c>
      <c r="AD64" s="115" t="str">
        <f>IFERROR(INDEX(Расходка[Наименование расходного материала],MATCH(Расходка[[#This Row],[№]],Поиск_расходки[Индекс13],0)),"")</f>
        <v>Telescope ™ II 6F</v>
      </c>
      <c r="AF64" s="4" t="s">
        <v>6</v>
      </c>
      <c r="AG64" s="4" t="s">
        <v>457</v>
      </c>
    </row>
    <row r="65" spans="1:33">
      <c r="A65">
        <f>ROW(Расходка[[#This Row],[Тип расходного материала ]])-1</f>
        <v>64</v>
      </c>
      <c r="B65" t="s">
        <v>4</v>
      </c>
      <c r="C65" t="s">
        <v>351</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64</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Launcher 6F AL 1</v>
      </c>
      <c r="Y65" s="115" t="str">
        <f>IFERROR(INDEX(Расходка[Наименование расходного материала],MATCH(Расходка[[#This Row],[№]],Поиск_расходки[Индекс8],0)),"")</f>
        <v>Launcher 6F AL 1</v>
      </c>
      <c r="Z65" s="115" t="str">
        <f>IFERROR(INDEX(Расходка[Наименование расходного материала],MATCH(Расходка[[#This Row],[№]],Поиск_расходки[Индекс9],0)),"")</f>
        <v>Launcher 6F AL 1</v>
      </c>
      <c r="AA65" s="115" t="str">
        <f>IFERROR(INDEX(Расходка[Наименование расходного материала],MATCH(Расходка[[#This Row],[№]],Поиск_расходки[Индекс10],0)),"")</f>
        <v>Launcher 6F AL 1</v>
      </c>
      <c r="AB65" s="115" t="str">
        <f>IFERROR(INDEX(Расходка[Наименование расходного материала],MATCH(Расходка[[#This Row],[№]],Поиск_расходки[Индекс11],0)),"")</f>
        <v>Launcher 6F AL 1</v>
      </c>
      <c r="AC65" s="115" t="str">
        <f>IFERROR(INDEX(Расходка[Наименование расходного материала],MATCH(Расходка[[#This Row],[№]],Поиск_расходки[Индекс12],0)),"")</f>
        <v>Launcher 6F AL 1</v>
      </c>
      <c r="AD65" s="115" t="str">
        <f>IFERROR(INDEX(Расходка[Наименование расходного материала],MATCH(Расходка[[#This Row],[№]],Поиск_расходки[Индекс13],0)),"")</f>
        <v>Launcher 6F AL 1</v>
      </c>
      <c r="AF65" s="4" t="s">
        <v>6</v>
      </c>
      <c r="AG65" s="4" t="s">
        <v>458</v>
      </c>
    </row>
    <row r="66" spans="1:33">
      <c r="A66">
        <f>ROW(Расходка[[#This Row],[Тип расходного материала ]])-1</f>
        <v>65</v>
      </c>
      <c r="B66" t="s">
        <v>4</v>
      </c>
      <c r="C66" t="s">
        <v>352</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65</v>
      </c>
      <c r="L66" s="116">
        <f>IF(ISNUMBER(SEARCH('Карта учёта'!$B$20,Расходка[[#This Row],[Наименование расходного материала]])),MAX($L$1:L65)+1,0)</f>
        <v>65</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Launcher 6F AL 2</v>
      </c>
      <c r="Y66" s="115" t="str">
        <f>IFERROR(INDEX(Расходка[Наименование расходного материала],MATCH(Расходка[[#This Row],[№]],Поиск_расходки[Индекс8],0)),"")</f>
        <v>Launcher 6F AL 2</v>
      </c>
      <c r="Z66" s="115" t="str">
        <f>IFERROR(INDEX(Расходка[Наименование расходного материала],MATCH(Расходка[[#This Row],[№]],Поиск_расходки[Индекс9],0)),"")</f>
        <v>Launcher 6F AL 2</v>
      </c>
      <c r="AA66" s="115" t="str">
        <f>IFERROR(INDEX(Расходка[Наименование расходного материала],MATCH(Расходка[[#This Row],[№]],Поиск_расходки[Индекс10],0)),"")</f>
        <v>Launcher 6F AL 2</v>
      </c>
      <c r="AB66" s="115" t="str">
        <f>IFERROR(INDEX(Расходка[Наименование расходного материала],MATCH(Расходка[[#This Row],[№]],Поиск_расходки[Индекс11],0)),"")</f>
        <v>Launcher 6F AL 2</v>
      </c>
      <c r="AC66" s="115" t="str">
        <f>IFERROR(INDEX(Расходка[Наименование расходного материала],MATCH(Расходка[[#This Row],[№]],Поиск_расходки[Индекс12],0)),"")</f>
        <v>Launcher 6F AL 2</v>
      </c>
      <c r="AD66" s="115" t="str">
        <f>IFERROR(INDEX(Расходка[Наименование расходного материала],MATCH(Расходка[[#This Row],[№]],Поиск_расходки[Индекс13],0)),"")</f>
        <v>Launcher 6F AL 2</v>
      </c>
      <c r="AF66" s="4" t="s">
        <v>6</v>
      </c>
      <c r="AG66" s="4" t="s">
        <v>459</v>
      </c>
    </row>
    <row r="67" spans="1:33">
      <c r="A67">
        <f>ROW(Расходка[[#This Row],[Тип расходного материала ]])-1</f>
        <v>66</v>
      </c>
      <c r="B67" t="s">
        <v>4</v>
      </c>
      <c r="C67" t="s">
        <v>326</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1</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66</v>
      </c>
      <c r="L67" s="197">
        <f>IF(ISNUMBER(SEARCH('Карта учёта'!$B$20,Расходка[[#This Row],[Наименование расходного материала]])),MAX($L$1:L66)+1,0)</f>
        <v>66</v>
      </c>
      <c r="M67" s="197">
        <f>IF(ISNUMBER(SEARCH('Карта учёта'!$B$21,Расходка[[#This Row],[Наименование расходного материала]])),MAX($M$1:M66)+1,0)</f>
        <v>66</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Launcher 6F EBU 3.5</v>
      </c>
      <c r="Y67" s="198" t="str">
        <f>IFERROR(INDEX(Расходка[Наименование расходного материала],MATCH(Расходка[[#This Row],[№]],Поиск_расходки[Индекс8],0)),"")</f>
        <v>Launcher 6F EBU 3.5</v>
      </c>
      <c r="Z67" s="198" t="str">
        <f>IFERROR(INDEX(Расходка[Наименование расходного материала],MATCH(Расходка[[#This Row],[№]],Поиск_расходки[Индекс9],0)),"")</f>
        <v>Launcher 6F EBU 3.5</v>
      </c>
      <c r="AA67" s="198" t="str">
        <f>IFERROR(INDEX(Расходка[Наименование расходного материала],MATCH(Расходка[[#This Row],[№]],Поиск_расходки[Индекс10],0)),"")</f>
        <v>Launcher 6F EBU 3.5</v>
      </c>
      <c r="AB67" s="198" t="str">
        <f>IFERROR(INDEX(Расходка[Наименование расходного материала],MATCH(Расходка[[#This Row],[№]],Поиск_расходки[Индекс11],0)),"")</f>
        <v>Launcher 6F EBU 3.5</v>
      </c>
      <c r="AC67" s="198" t="str">
        <f>IFERROR(INDEX(Расходка[Наименование расходного материала],MATCH(Расходка[[#This Row],[№]],Поиск_расходки[Индекс12],0)),"")</f>
        <v>Launcher 6F EBU 3.5</v>
      </c>
      <c r="AD67" s="198" t="str">
        <f>IFERROR(INDEX(Расходка[Наименование расходного материала],MATCH(Расходка[[#This Row],[№]],Поиск_расходки[Индекс13],0)),"")</f>
        <v>Launcher 6F EBU 3.5</v>
      </c>
      <c r="AF67" s="4" t="s">
        <v>6</v>
      </c>
      <c r="AG67" s="4" t="s">
        <v>460</v>
      </c>
    </row>
    <row r="68" spans="1:33">
      <c r="A68">
        <f>ROW(Расходка[[#This Row],[Тип расходного материала ]])-1</f>
        <v>67</v>
      </c>
      <c r="B68" t="s">
        <v>4</v>
      </c>
      <c r="C68" t="s">
        <v>327</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67</v>
      </c>
      <c r="L68" s="197">
        <f>IF(ISNUMBER(SEARCH('Карта учёта'!$B$20,Расходка[[#This Row],[Наименование расходного материала]])),MAX($L$1:L67)+1,0)</f>
        <v>67</v>
      </c>
      <c r="M68" s="197">
        <f>IF(ISNUMBER(SEARCH('Карта учёта'!$B$21,Расходка[[#This Row],[Наименование расходного материала]])),MAX($M$1:M67)+1,0)</f>
        <v>67</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Launcher 6F EBU 4.0</v>
      </c>
      <c r="Y68" s="198" t="str">
        <f>IFERROR(INDEX(Расходка[Наименование расходного материала],MATCH(Расходка[[#This Row],[№]],Поиск_расходки[Индекс8],0)),"")</f>
        <v>Launcher 6F EBU 4.0</v>
      </c>
      <c r="Z68" s="198" t="str">
        <f>IFERROR(INDEX(Расходка[Наименование расходного материала],MATCH(Расходка[[#This Row],[№]],Поиск_расходки[Индекс9],0)),"")</f>
        <v>Launcher 6F EBU 4.0</v>
      </c>
      <c r="AA68" s="198" t="str">
        <f>IFERROR(INDEX(Расходка[Наименование расходного материала],MATCH(Расходка[[#This Row],[№]],Поиск_расходки[Индекс10],0)),"")</f>
        <v>Launcher 6F EBU 4.0</v>
      </c>
      <c r="AB68" s="198" t="str">
        <f>IFERROR(INDEX(Расходка[Наименование расходного материала],MATCH(Расходка[[#This Row],[№]],Поиск_расходки[Индекс11],0)),"")</f>
        <v>Launcher 6F EBU 4.0</v>
      </c>
      <c r="AC68" s="198" t="str">
        <f>IFERROR(INDEX(Расходка[Наименование расходного материала],MATCH(Расходка[[#This Row],[№]],Поиск_расходки[Индекс12],0)),"")</f>
        <v>Launcher 6F EBU 4.0</v>
      </c>
      <c r="AD68" s="198" t="str">
        <f>IFERROR(INDEX(Расходка[Наименование расходного материала],MATCH(Расходка[[#This Row],[№]],Поиск_расходки[Индекс13],0)),"")</f>
        <v>Launcher 6F EBU 4.0</v>
      </c>
      <c r="AF68" s="4" t="s">
        <v>6</v>
      </c>
      <c r="AG68" s="4" t="s">
        <v>461</v>
      </c>
    </row>
    <row r="69" spans="1:33">
      <c r="A69">
        <f>ROW(Расходка[[#This Row],[Тип расходного материала ]])-1</f>
        <v>68</v>
      </c>
      <c r="B69" t="s">
        <v>4</v>
      </c>
      <c r="C69" t="s">
        <v>328</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68</v>
      </c>
      <c r="L69" s="197">
        <f>IF(ISNUMBER(SEARCH('Карта учёта'!$B$20,Расходка[[#This Row],[Наименование расходного материала]])),MAX($L$1:L68)+1,0)</f>
        <v>68</v>
      </c>
      <c r="M69" s="197">
        <f>IF(ISNUMBER(SEARCH('Карта учёта'!$B$21,Расходка[[#This Row],[Наименование расходного материала]])),MAX($M$1:M68)+1,0)</f>
        <v>68</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Launcher 6F JL 3.5</v>
      </c>
      <c r="Y69" s="198" t="str">
        <f>IFERROR(INDEX(Расходка[Наименование расходного материала],MATCH(Расходка[[#This Row],[№]],Поиск_расходки[Индекс8],0)),"")</f>
        <v>Launcher 6F JL 3.5</v>
      </c>
      <c r="Z69" s="198" t="str">
        <f>IFERROR(INDEX(Расходка[Наименование расходного материала],MATCH(Расходка[[#This Row],[№]],Поиск_расходки[Индекс9],0)),"")</f>
        <v>Launcher 6F JL 3.5</v>
      </c>
      <c r="AA69" s="198" t="str">
        <f>IFERROR(INDEX(Расходка[Наименование расходного материала],MATCH(Расходка[[#This Row],[№]],Поиск_расходки[Индекс10],0)),"")</f>
        <v>Launcher 6F JL 3.5</v>
      </c>
      <c r="AB69" s="198" t="str">
        <f>IFERROR(INDEX(Расходка[Наименование расходного материала],MATCH(Расходка[[#This Row],[№]],Поиск_расходки[Индекс11],0)),"")</f>
        <v>Launcher 6F JL 3.5</v>
      </c>
      <c r="AC69" s="198" t="str">
        <f>IFERROR(INDEX(Расходка[Наименование расходного материала],MATCH(Расходка[[#This Row],[№]],Поиск_расходки[Индекс12],0)),"")</f>
        <v>Launcher 6F JL 3.5</v>
      </c>
      <c r="AD69" s="198" t="str">
        <f>IFERROR(INDEX(Расходка[Наименование расходного материала],MATCH(Расходка[[#This Row],[№]],Поиск_расходки[Индекс13],0)),"")</f>
        <v>Launcher 6F JL 3.5</v>
      </c>
      <c r="AF69" s="4" t="s">
        <v>6</v>
      </c>
      <c r="AG69" s="4" t="s">
        <v>462</v>
      </c>
    </row>
    <row r="70" spans="1:33">
      <c r="A70">
        <f>ROW(Расходка[[#This Row],[Тип расходного материала ]])-1</f>
        <v>69</v>
      </c>
      <c r="B70" t="s">
        <v>4</v>
      </c>
      <c r="C70" t="s">
        <v>329</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69</v>
      </c>
      <c r="L70" s="197">
        <f>IF(ISNUMBER(SEARCH('Карта учёта'!$B$20,Расходка[[#This Row],[Наименование расходного материала]])),MAX($L$1:L69)+1,0)</f>
        <v>69</v>
      </c>
      <c r="M70" s="197">
        <f>IF(ISNUMBER(SEARCH('Карта учёта'!$B$21,Расходка[[#This Row],[Наименование расходного материала]])),MAX($M$1:M69)+1,0)</f>
        <v>69</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Launcher 6F JL 4.0</v>
      </c>
      <c r="Y70" s="198" t="str">
        <f>IFERROR(INDEX(Расходка[Наименование расходного материала],MATCH(Расходка[[#This Row],[№]],Поиск_расходки[Индекс8],0)),"")</f>
        <v>Launcher 6F JL 4.0</v>
      </c>
      <c r="Z70" s="198" t="str">
        <f>IFERROR(INDEX(Расходка[Наименование расходного материала],MATCH(Расходка[[#This Row],[№]],Поиск_расходки[Индекс9],0)),"")</f>
        <v>Launcher 6F JL 4.0</v>
      </c>
      <c r="AA70" s="198" t="str">
        <f>IFERROR(INDEX(Расходка[Наименование расходного материала],MATCH(Расходка[[#This Row],[№]],Поиск_расходки[Индекс10],0)),"")</f>
        <v>Launcher 6F JL 4.0</v>
      </c>
      <c r="AB70" s="198" t="str">
        <f>IFERROR(INDEX(Расходка[Наименование расходного материала],MATCH(Расходка[[#This Row],[№]],Поиск_расходки[Индекс11],0)),"")</f>
        <v>Launcher 6F JL 4.0</v>
      </c>
      <c r="AC70" s="198" t="str">
        <f>IFERROR(INDEX(Расходка[Наименование расходного материала],MATCH(Расходка[[#This Row],[№]],Поиск_расходки[Индекс12],0)),"")</f>
        <v>Launcher 6F JL 4.0</v>
      </c>
      <c r="AD70" s="198" t="str">
        <f>IFERROR(INDEX(Расходка[Наименование расходного материала],MATCH(Расходка[[#This Row],[№]],Поиск_расходки[Индекс13],0)),"")</f>
        <v>Launcher 6F JL 4.0</v>
      </c>
      <c r="AF70" s="4" t="s">
        <v>6</v>
      </c>
      <c r="AG70" s="4" t="s">
        <v>463</v>
      </c>
    </row>
    <row r="71" spans="1:33">
      <c r="A71">
        <f>ROW(Расходка[[#This Row],[Тип расходного материала ]])-1</f>
        <v>70</v>
      </c>
      <c r="B71" t="s">
        <v>4</v>
      </c>
      <c r="C71" t="s">
        <v>335</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70</v>
      </c>
      <c r="L71" s="197">
        <f>IF(ISNUMBER(SEARCH('Карта учёта'!$B$20,Расходка[[#This Row],[Наименование расходного материала]])),MAX($L$1:L70)+1,0)</f>
        <v>70</v>
      </c>
      <c r="M71" s="197">
        <f>IF(ISNUMBER(SEARCH('Карта учёта'!$B$21,Расходка[[#This Row],[Наименование расходного материала]])),MAX($M$1:M70)+1,0)</f>
        <v>70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Launcher 6F JL 4.5</v>
      </c>
      <c r="Y71" s="198" t="str">
        <f>IFERROR(INDEX(Расходка[Наименование расходного материала],MATCH(Расходка[[#This Row],[№]],Поиск_расходки[Индекс8],0)),"")</f>
        <v>Launcher 6F JL 4.5</v>
      </c>
      <c r="Z71" s="198" t="str">
        <f>IFERROR(INDEX(Расходка[Наименование расходного материала],MATCH(Расходка[[#This Row],[№]],Поиск_расходки[Индекс9],0)),"")</f>
        <v>Launcher 6F JL 4.5</v>
      </c>
      <c r="AA71" s="198" t="str">
        <f>IFERROR(INDEX(Расходка[Наименование расходного материала],MATCH(Расходка[[#This Row],[№]],Поиск_расходки[Индекс10],0)),"")</f>
        <v>Launcher 6F JL 4.5</v>
      </c>
      <c r="AB71" s="198" t="str">
        <f>IFERROR(INDEX(Расходка[Наименование расходного материала],MATCH(Расходка[[#This Row],[№]],Поиск_расходки[Индекс11],0)),"")</f>
        <v>Launcher 6F JL 4.5</v>
      </c>
      <c r="AC71" s="198" t="str">
        <f>IFERROR(INDEX(Расходка[Наименование расходного материала],MATCH(Расходка[[#This Row],[№]],Поиск_расходки[Индекс12],0)),"")</f>
        <v>Launcher 6F JL 4.5</v>
      </c>
      <c r="AD71" s="198" t="str">
        <f>IFERROR(INDEX(Расходка[Наименование расходного материала],MATCH(Расходка[[#This Row],[№]],Поиск_расходки[Индекс13],0)),"")</f>
        <v>Launcher 6F JL 4.5</v>
      </c>
      <c r="AF71" s="4" t="s">
        <v>6</v>
      </c>
      <c r="AG71" s="4" t="s">
        <v>418</v>
      </c>
    </row>
    <row r="72" spans="1:33">
      <c r="A72">
        <f>ROW(Расходка[[#This Row],[Тип расходного материала ]])-1</f>
        <v>71</v>
      </c>
      <c r="B72" t="s">
        <v>4</v>
      </c>
      <c r="C72" t="s">
        <v>330</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71</v>
      </c>
      <c r="L72" s="197">
        <f>IF(ISNUMBER(SEARCH('Карта учёта'!$B$20,Расходка[[#This Row],[Наименование расходного материала]])),MAX($L$1:L71)+1,0)</f>
        <v>71</v>
      </c>
      <c r="M72" s="197">
        <f>IF(ISNUMBER(SEARCH('Карта учёта'!$B$21,Расходка[[#This Row],[Наименование расходного материала]])),MAX($M$1:M71)+1,0)</f>
        <v>71</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Launcher 6F JR 3.5</v>
      </c>
      <c r="Y72" s="198" t="str">
        <f>IFERROR(INDEX(Расходка[Наименование расходного материала],MATCH(Расходка[[#This Row],[№]],Поиск_расходки[Индекс8],0)),"")</f>
        <v>Launcher 6F JR 3.5</v>
      </c>
      <c r="Z72" s="198" t="str">
        <f>IFERROR(INDEX(Расходка[Наименование расходного материала],MATCH(Расходка[[#This Row],[№]],Поиск_расходки[Индекс9],0)),"")</f>
        <v>Launcher 6F JR 3.5</v>
      </c>
      <c r="AA72" s="198" t="str">
        <f>IFERROR(INDEX(Расходка[Наименование расходного материала],MATCH(Расходка[[#This Row],[№]],Поиск_расходки[Индекс10],0)),"")</f>
        <v>Launcher 6F JR 3.5</v>
      </c>
      <c r="AB72" s="198" t="str">
        <f>IFERROR(INDEX(Расходка[Наименование расходного материала],MATCH(Расходка[[#This Row],[№]],Поиск_расходки[Индекс11],0)),"")</f>
        <v>Launcher 6F JR 3.5</v>
      </c>
      <c r="AC72" s="198" t="str">
        <f>IFERROR(INDEX(Расходка[Наименование расходного материала],MATCH(Расходка[[#This Row],[№]],Поиск_расходки[Индекс12],0)),"")</f>
        <v>Launcher 6F JR 3.5</v>
      </c>
      <c r="AD72" s="198" t="str">
        <f>IFERROR(INDEX(Расходка[Наименование расходного материала],MATCH(Расходка[[#This Row],[№]],Поиск_расходки[Индекс13],0)),"")</f>
        <v>Launcher 6F JR 3.5</v>
      </c>
      <c r="AF72" s="4" t="s">
        <v>6</v>
      </c>
      <c r="AG72" s="4" t="s">
        <v>464</v>
      </c>
    </row>
    <row r="73" spans="1:33">
      <c r="A73">
        <f>ROW(Расходка[[#This Row],[Тип расходного материала ]])-1</f>
        <v>72</v>
      </c>
      <c r="B73" t="s">
        <v>4</v>
      </c>
      <c r="C73" t="s">
        <v>331</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72</v>
      </c>
      <c r="L73" s="197">
        <f>IF(ISNUMBER(SEARCH('Карта учёта'!$B$20,Расходка[[#This Row],[Наименование расходного материала]])),MAX($L$1:L72)+1,0)</f>
        <v>72</v>
      </c>
      <c r="M73" s="197">
        <f>IF(ISNUMBER(SEARCH('Карта учёта'!$B$21,Расходка[[#This Row],[Наименование расходного материала]])),MAX($M$1:M72)+1,0)</f>
        <v>72</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Launcher 6F JR 4.0</v>
      </c>
      <c r="Y73" s="198" t="str">
        <f>IFERROR(INDEX(Расходка[Наименование расходного материала],MATCH(Расходка[[#This Row],[№]],Поиск_расходки[Индекс8],0)),"")</f>
        <v>Launcher 6F JR 4.0</v>
      </c>
      <c r="Z73" s="198" t="str">
        <f>IFERROR(INDEX(Расходка[Наименование расходного материала],MATCH(Расходка[[#This Row],[№]],Поиск_расходки[Индекс9],0)),"")</f>
        <v>Launcher 6F JR 4.0</v>
      </c>
      <c r="AA73" s="198" t="str">
        <f>IFERROR(INDEX(Расходка[Наименование расходного материала],MATCH(Расходка[[#This Row],[№]],Поиск_расходки[Индекс10],0)),"")</f>
        <v>Launcher 6F JR 4.0</v>
      </c>
      <c r="AB73" s="198" t="str">
        <f>IFERROR(INDEX(Расходка[Наименование расходного материала],MATCH(Расходка[[#This Row],[№]],Поиск_расходки[Индекс11],0)),"")</f>
        <v>Launcher 6F JR 4.0</v>
      </c>
      <c r="AC73" s="198" t="str">
        <f>IFERROR(INDEX(Расходка[Наименование расходного материала],MATCH(Расходка[[#This Row],[№]],Поиск_расходки[Индекс12],0)),"")</f>
        <v>Launcher 6F JR 4.0</v>
      </c>
      <c r="AD73" s="198" t="str">
        <f>IFERROR(INDEX(Расходка[Наименование расходного материала],MATCH(Расходка[[#This Row],[№]],Поиск_расходки[Индекс13],0)),"")</f>
        <v>Launcher 6F JR 4.0</v>
      </c>
      <c r="AF73" s="4" t="s">
        <v>6</v>
      </c>
      <c r="AG73" s="4" t="s">
        <v>419</v>
      </c>
    </row>
    <row r="74" spans="1:33">
      <c r="A74">
        <f>ROW(Расходка[[#This Row],[Тип расходного материала ]])-1</f>
        <v>73</v>
      </c>
      <c r="B74" t="s">
        <v>4</v>
      </c>
      <c r="C74" t="s">
        <v>341</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73</v>
      </c>
      <c r="L74" s="197">
        <f>IF(ISNUMBER(SEARCH('Карта учёта'!$B$20,Расходка[[#This Row],[Наименование расходного материала]])),MAX($L$1:L73)+1,0)</f>
        <v>73</v>
      </c>
      <c r="M74" s="197">
        <f>IF(ISNUMBER(SEARCH('Карта учёта'!$B$21,Расходка[[#This Row],[Наименование расходного материала]])),MAX($M$1:M73)+1,0)</f>
        <v>73</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Launcher 7F JL 3.5</v>
      </c>
      <c r="Y74" s="198" t="str">
        <f>IFERROR(INDEX(Расходка[Наименование расходного материала],MATCH(Расходка[[#This Row],[№]],Поиск_расходки[Индекс8],0)),"")</f>
        <v>Launcher 7F JL 3.5</v>
      </c>
      <c r="Z74" s="198" t="str">
        <f>IFERROR(INDEX(Расходка[Наименование расходного материала],MATCH(Расходка[[#This Row],[№]],Поиск_расходки[Индекс9],0)),"")</f>
        <v>Launcher 7F JL 3.5</v>
      </c>
      <c r="AA74" s="198" t="str">
        <f>IFERROR(INDEX(Расходка[Наименование расходного материала],MATCH(Расходка[[#This Row],[№]],Поиск_расходки[Индекс10],0)),"")</f>
        <v>Launcher 7F JL 3.5</v>
      </c>
      <c r="AB74" s="198" t="str">
        <f>IFERROR(INDEX(Расходка[Наименование расходного материала],MATCH(Расходка[[#This Row],[№]],Поиск_расходки[Индекс11],0)),"")</f>
        <v>Launcher 7F JL 3.5</v>
      </c>
      <c r="AC74" s="198" t="str">
        <f>IFERROR(INDEX(Расходка[Наименование расходного материала],MATCH(Расходка[[#This Row],[№]],Поиск_расходки[Индекс12],0)),"")</f>
        <v>Launcher 7F JL 3.5</v>
      </c>
      <c r="AD74" s="198" t="str">
        <f>IFERROR(INDEX(Расходка[Наименование расходного материала],MATCH(Расходка[[#This Row],[№]],Поиск_расходки[Индекс13],0)),"")</f>
        <v>Launcher 7F JL 3.5</v>
      </c>
      <c r="AF74" s="4" t="s">
        <v>6</v>
      </c>
      <c r="AG74" s="4" t="s">
        <v>465</v>
      </c>
    </row>
    <row r="75" spans="1:33">
      <c r="A75">
        <f>ROW(Расходка[[#This Row],[Тип расходного материала ]])-1</f>
        <v>74</v>
      </c>
      <c r="B75" t="s">
        <v>4</v>
      </c>
      <c r="C75" t="s">
        <v>340</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74</v>
      </c>
      <c r="L75" s="197">
        <f>IF(ISNUMBER(SEARCH('Карта учёта'!$B$20,Расходка[[#This Row],[Наименование расходного материала]])),MAX($L$1:L74)+1,0)</f>
        <v>74</v>
      </c>
      <c r="M75" s="197">
        <f>IF(ISNUMBER(SEARCH('Карта учёта'!$B$21,Расходка[[#This Row],[Наименование расходного материала]])),MAX($M$1:M74)+1,0)</f>
        <v>74</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Launcher 7F JL 4.0</v>
      </c>
      <c r="Y75" s="198" t="str">
        <f>IFERROR(INDEX(Расходка[Наименование расходного материала],MATCH(Расходка[[#This Row],[№]],Поиск_расходки[Индекс8],0)),"")</f>
        <v>Launcher 7F JL 4.0</v>
      </c>
      <c r="Z75" s="198" t="str">
        <f>IFERROR(INDEX(Расходка[Наименование расходного материала],MATCH(Расходка[[#This Row],[№]],Поиск_расходки[Индекс9],0)),"")</f>
        <v>Launcher 7F JL 4.0</v>
      </c>
      <c r="AA75" s="198" t="str">
        <f>IFERROR(INDEX(Расходка[Наименование расходного материала],MATCH(Расходка[[#This Row],[№]],Поиск_расходки[Индекс10],0)),"")</f>
        <v>Launcher 7F JL 4.0</v>
      </c>
      <c r="AB75" s="198" t="str">
        <f>IFERROR(INDEX(Расходка[Наименование расходного материала],MATCH(Расходка[[#This Row],[№]],Поиск_расходки[Индекс11],0)),"")</f>
        <v>Launcher 7F JL 4.0</v>
      </c>
      <c r="AC75" s="198" t="str">
        <f>IFERROR(INDEX(Расходка[Наименование расходного материала],MATCH(Расходка[[#This Row],[№]],Поиск_расходки[Индекс12],0)),"")</f>
        <v>Launcher 7F JL 4.0</v>
      </c>
      <c r="AD75" s="198" t="str">
        <f>IFERROR(INDEX(Расходка[Наименование расходного материала],MATCH(Расходка[[#This Row],[№]],Поиск_расходки[Индекс13],0)),"")</f>
        <v>Launcher 7F JL 4.0</v>
      </c>
      <c r="AF75" s="4" t="s">
        <v>6</v>
      </c>
      <c r="AG75" s="4" t="s">
        <v>466</v>
      </c>
    </row>
    <row r="76" spans="1:33">
      <c r="A76">
        <f>ROW(Расходка[[#This Row],[Тип расходного материала ]])-1</f>
        <v>75</v>
      </c>
      <c r="B76" t="s">
        <v>301</v>
      </c>
      <c r="C76" s="1" t="s">
        <v>332</v>
      </c>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75</v>
      </c>
      <c r="L76" s="197">
        <f>IF(ISNUMBER(SEARCH('Карта учёта'!$B$20,Расходка[[#This Row],[Наименование расходного материала]])),MAX($L$1:L75)+1,0)</f>
        <v>75</v>
      </c>
      <c r="M76" s="197">
        <f>IF(ISNUMBER(SEARCH('Карта учёта'!$B$21,Расходка[[#This Row],[Наименование расходного материала]])),MAX($M$1:M75)+1,0)</f>
        <v>75</v>
      </c>
      <c r="N76" s="197">
        <f>IF(ISNUMBER(SEARCH('Карта учёта'!$B$22,Расходка[[#This Row],[Наименование расходного материала]])),MAX($N$1:N75)+1,0)</f>
        <v>75</v>
      </c>
      <c r="O76" s="197">
        <f>IF(ISNUMBER(SEARCH('Карта учёта'!$B$23,Расходка[[#This Row],[Наименование расходного материала]])),MAX($O$1:O75)+1,0)</f>
        <v>75</v>
      </c>
      <c r="P76" s="197">
        <f>IF(ISNUMBER(SEARCH('Карта учёта'!$B$24,Расходка[[#This Row],[Наименование расходного материала]])),MAX($P$1:P75)+1,0)</f>
        <v>75</v>
      </c>
      <c r="Q76" s="197">
        <f>IF(ISNUMBER(SEARCH('Карта учёта'!$B$25,Расходка[[#This Row],[Наименование расходного материала]])),MAX($Q$1:Q75)+1,0)</f>
        <v>75</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Angio-Seal™ VIP</v>
      </c>
      <c r="Y76" s="198" t="str">
        <f>IFERROR(INDEX(Расходка[Наименование расходного материала],MATCH(Расходка[[#This Row],[№]],Поиск_расходки[Индекс8],0)),"")</f>
        <v>Angio-Seal™ VIP</v>
      </c>
      <c r="Z76" s="198" t="str">
        <f>IFERROR(INDEX(Расходка[Наименование расходного материала],MATCH(Расходка[[#This Row],[№]],Поиск_расходки[Индекс9],0)),"")</f>
        <v>Angio-Seal™ VIP</v>
      </c>
      <c r="AA76" s="198" t="str">
        <f>IFERROR(INDEX(Расходка[Наименование расходного материала],MATCH(Расходка[[#This Row],[№]],Поиск_расходки[Индекс10],0)),"")</f>
        <v>Angio-Seal™ VIP</v>
      </c>
      <c r="AB76" s="198" t="str">
        <f>IFERROR(INDEX(Расходка[Наименование расходного материала],MATCH(Расходка[[#This Row],[№]],Поиск_расходки[Индекс11],0)),"")</f>
        <v>Angio-Seal™ VIP</v>
      </c>
      <c r="AC76" s="198" t="str">
        <f>IFERROR(INDEX(Расходка[Наименование расходного материала],MATCH(Расходка[[#This Row],[№]],Поиск_расходки[Индекс12],0)),"")</f>
        <v>Angio-Seal™ VIP</v>
      </c>
      <c r="AD76" s="198" t="str">
        <f>IFERROR(INDEX(Расходка[Наименование расходного материала],MATCH(Расходка[[#This Row],[№]],Поиск_расходки[Индекс13],0)),"")</f>
        <v>Angio-Seal™ VIP</v>
      </c>
      <c r="AF76" s="4" t="s">
        <v>6</v>
      </c>
      <c r="AG76" s="4" t="s">
        <v>467</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468</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469</v>
      </c>
    </row>
    <row r="79" spans="1:33">
      <c r="AF79" s="4" t="s">
        <v>6</v>
      </c>
      <c r="AG79" s="4" t="s">
        <v>470</v>
      </c>
    </row>
    <row r="80" spans="1:33">
      <c r="AF80" s="4" t="s">
        <v>6</v>
      </c>
      <c r="AG80" s="4" t="s">
        <v>471</v>
      </c>
    </row>
    <row r="81" spans="32:33">
      <c r="AF81" s="4" t="s">
        <v>6</v>
      </c>
      <c r="AG81" s="4" t="s">
        <v>472</v>
      </c>
    </row>
    <row r="82" spans="32:33">
      <c r="AF82" s="4" t="s">
        <v>6</v>
      </c>
      <c r="AG82" s="4" t="s">
        <v>473</v>
      </c>
    </row>
    <row r="83" spans="32:33">
      <c r="AF83" s="4" t="s">
        <v>6</v>
      </c>
      <c r="AG83" s="4" t="s">
        <v>474</v>
      </c>
    </row>
    <row r="84" spans="32:33">
      <c r="AF84" s="4" t="s">
        <v>6</v>
      </c>
      <c r="AG84" s="4" t="s">
        <v>425</v>
      </c>
    </row>
    <row r="85" spans="32:33">
      <c r="AF85" s="4" t="s">
        <v>6</v>
      </c>
      <c r="AG85" s="4" t="s">
        <v>426</v>
      </c>
    </row>
    <row r="86" spans="32:33">
      <c r="AF86" s="4" t="s">
        <v>6</v>
      </c>
      <c r="AG86" s="4" t="s">
        <v>475</v>
      </c>
    </row>
    <row r="87" spans="32:33">
      <c r="AF87" s="4" t="s">
        <v>6</v>
      </c>
      <c r="AG87" s="4" t="s">
        <v>476</v>
      </c>
    </row>
    <row r="88" spans="32:33">
      <c r="AF88" s="4" t="s">
        <v>6</v>
      </c>
      <c r="AG88" s="4" t="s">
        <v>477</v>
      </c>
    </row>
    <row r="89" spans="32:33">
      <c r="AF89" s="4" t="s">
        <v>6</v>
      </c>
      <c r="AG89" s="4" t="s">
        <v>478</v>
      </c>
    </row>
    <row r="90" spans="32:33">
      <c r="AF90" s="4" t="s">
        <v>6</v>
      </c>
      <c r="AG90" s="4" t="s">
        <v>479</v>
      </c>
    </row>
    <row r="91" spans="32:33">
      <c r="AF91" s="4" t="s">
        <v>6</v>
      </c>
      <c r="AG91" s="4" t="s">
        <v>480</v>
      </c>
    </row>
    <row r="92" spans="32:33">
      <c r="AF92" s="4" t="s">
        <v>6</v>
      </c>
      <c r="AG92" s="4" t="s">
        <v>481</v>
      </c>
    </row>
    <row r="93" spans="32:33">
      <c r="AF93" s="4" t="s">
        <v>6</v>
      </c>
      <c r="AG93" s="4" t="s">
        <v>482</v>
      </c>
    </row>
    <row r="94" spans="32:33">
      <c r="AF94" s="4" t="s">
        <v>6</v>
      </c>
      <c r="AG94" s="4" t="s">
        <v>429</v>
      </c>
    </row>
    <row r="95" spans="32:33">
      <c r="AF95" s="4" t="s">
        <v>6</v>
      </c>
      <c r="AG95" s="4" t="s">
        <v>430</v>
      </c>
    </row>
    <row r="96" spans="32:33">
      <c r="AF96" s="4" t="s">
        <v>6</v>
      </c>
      <c r="AG96" s="4" t="s">
        <v>483</v>
      </c>
    </row>
    <row r="97" spans="32:33">
      <c r="AF97" s="4" t="s">
        <v>6</v>
      </c>
      <c r="AG97" s="4" t="s">
        <v>484</v>
      </c>
    </row>
  </sheetData>
  <sheetProtection sheet="1" objects="1" scenarios="1" formatCells="0" formatColumns="0"/>
  <phoneticPr fontId="14" type="noConversion"/>
  <dataValidations count="1">
    <dataValidation type="list" allowBlank="1" showInputMessage="1" showErrorMessage="1" sqref="B2:B7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516</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350</v>
      </c>
      <c r="C17" t="str">
        <f t="shared" si="0"/>
        <v xml:space="preserve">И/О старшей мед.сетры: А.А. Нефёдова </v>
      </c>
    </row>
    <row r="18" spans="1:3">
      <c r="A18" t="s">
        <v>123</v>
      </c>
      <c r="B18" t="s">
        <v>349</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353</v>
      </c>
    </row>
    <row r="34" spans="1:2">
      <c r="A34" t="s">
        <v>170</v>
      </c>
      <c r="B34" t="s">
        <v>263</v>
      </c>
    </row>
    <row r="35" spans="1:2">
      <c r="A35" t="s">
        <v>170</v>
      </c>
      <c r="B35" t="s">
        <v>249</v>
      </c>
    </row>
    <row r="36" spans="1:2">
      <c r="A36" t="s">
        <v>170</v>
      </c>
      <c r="B36" t="s">
        <v>253</v>
      </c>
    </row>
    <row r="37" spans="1:2">
      <c r="A37" t="s">
        <v>170</v>
      </c>
      <c r="B37" t="s">
        <v>248</v>
      </c>
    </row>
    <row r="38" spans="1:2">
      <c r="A38" t="s">
        <v>170</v>
      </c>
      <c r="B38" t="s">
        <v>364</v>
      </c>
    </row>
    <row r="39" spans="1:2">
      <c r="A39" t="s">
        <v>170</v>
      </c>
      <c r="B39" t="s">
        <v>507</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504</v>
      </c>
    </row>
    <row r="53" spans="1:2">
      <c r="A53" t="s">
        <v>303</v>
      </c>
      <c r="B53" t="s">
        <v>259</v>
      </c>
    </row>
    <row r="54" spans="1:2">
      <c r="A54" t="s">
        <v>303</v>
      </c>
      <c r="B54" t="s">
        <v>369</v>
      </c>
    </row>
    <row r="55" spans="1:2">
      <c r="A55" t="s">
        <v>303</v>
      </c>
      <c r="B55" t="s">
        <v>365</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342</v>
      </c>
    </row>
    <row r="71" spans="1:2">
      <c r="A71" t="s">
        <v>172</v>
      </c>
      <c r="B71" t="s">
        <v>143</v>
      </c>
    </row>
    <row r="72" spans="1:2">
      <c r="A72" t="s">
        <v>172</v>
      </c>
      <c r="B72" t="s">
        <v>367</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382</v>
      </c>
    </row>
    <row r="2" spans="1:1">
      <c r="A2" t="s">
        <v>379</v>
      </c>
    </row>
    <row r="3" spans="1:1">
      <c r="A3" t="s">
        <v>383</v>
      </c>
    </row>
    <row r="4" spans="1:1">
      <c r="A4" t="s">
        <v>384</v>
      </c>
    </row>
    <row r="5" spans="1:1">
      <c r="A5" t="s">
        <v>380</v>
      </c>
    </row>
    <row r="6" spans="1:1">
      <c r="A6" t="s">
        <v>381</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3</vt:i4>
      </vt:variant>
    </vt:vector>
  </HeadingPairs>
  <TitlesOfParts>
    <vt:vector size="11"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lpstr>ЧКВ!Область_печати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2024-10-15T16:32:10Z</cp:lastPrinted>
  <dcterms:created xsi:type="dcterms:W3CDTF">2015-06-05T18:19:34Z</dcterms:created>
  <dcterms:modified xsi:type="dcterms:W3CDTF">2024-10-15T22:48:02Z</dcterms:modified>
</cp:coreProperties>
</file>