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S77" i="1" s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66" i="1" l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U65" i="1" s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76" i="1" l="1"/>
  <c r="U77" i="1"/>
  <c r="J75" i="1"/>
  <c r="I75" i="1"/>
  <c r="W62" i="1"/>
  <c r="W39" i="1"/>
  <c r="W54" i="1"/>
  <c r="W47" i="1"/>
  <c r="W55" i="1"/>
  <c r="W57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J77" i="1" s="1"/>
  <c r="W75" i="1"/>
  <c r="W76" i="1"/>
  <c r="W50" i="1"/>
  <c r="W69" i="1"/>
  <c r="W71" i="1"/>
  <c r="W42" i="1"/>
  <c r="W48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V62" i="1" s="1"/>
  <c r="W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4" i="1"/>
  <c r="V8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V9" i="1" l="1"/>
  <c r="V77" i="1"/>
  <c r="V11" i="1"/>
  <c r="V50" i="1"/>
  <c r="V7" i="1"/>
  <c r="V71" i="1"/>
  <c r="V58" i="1"/>
  <c r="V52" i="1"/>
  <c r="V63" i="1"/>
  <c r="V49" i="1"/>
  <c r="V45" i="1"/>
  <c r="V59" i="1"/>
  <c r="V75" i="1"/>
  <c r="V41" i="1"/>
  <c r="V56" i="1"/>
  <c r="V55" i="1"/>
  <c r="V70" i="1"/>
  <c r="V39" i="1"/>
  <c r="V73" i="1"/>
  <c r="V68" i="1"/>
  <c r="V67" i="1"/>
  <c r="V46" i="1"/>
  <c r="V54" i="1"/>
  <c r="V72" i="1"/>
  <c r="V48" i="1"/>
  <c r="V53" i="1"/>
  <c r="V74" i="1"/>
  <c r="V65" i="1"/>
  <c r="V51" i="1"/>
  <c r="V61" i="1"/>
  <c r="V64" i="1"/>
  <c r="V66" i="1"/>
  <c r="V43" i="1"/>
  <c r="V44" i="1"/>
  <c r="V69" i="1"/>
  <c r="V60" i="1"/>
  <c r="V57" i="1"/>
  <c r="V40" i="1"/>
  <c r="V47" i="1"/>
  <c r="V42" i="1"/>
  <c r="V3" i="1"/>
  <c r="V76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K76" i="1" l="1"/>
  <c r="K77" i="1" s="1"/>
  <c r="X18" i="1"/>
  <c r="X3" i="1"/>
  <c r="X5" i="1"/>
  <c r="X76" i="1"/>
  <c r="X35" i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X77" i="1" l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C68" i="1" l="1"/>
  <c r="G74" i="1"/>
  <c r="G75" i="1" s="1"/>
  <c r="P74" i="1"/>
  <c r="N72" i="1"/>
  <c r="N73" i="1" s="1"/>
  <c r="L67" i="1"/>
  <c r="M61" i="1"/>
  <c r="G76" i="1" l="1"/>
  <c r="G77" i="1" s="1"/>
  <c r="T75" i="1" s="1"/>
  <c r="AC51" i="1"/>
  <c r="P75" i="1"/>
  <c r="AC73" i="1" s="1"/>
  <c r="T3" i="1"/>
  <c r="T7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T34" i="1" l="1"/>
  <c r="T71" i="1"/>
  <c r="T73" i="1"/>
  <c r="T6" i="1"/>
  <c r="T4" i="1"/>
  <c r="T5" i="1"/>
  <c r="T76" i="1"/>
  <c r="T77" i="1"/>
  <c r="P76" i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L75" i="1" s="1"/>
  <c r="M69" i="1"/>
  <c r="L76" i="1" l="1"/>
  <c r="Y3" i="1"/>
  <c r="M70" i="1"/>
  <c r="L77" i="1" l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Z77" i="1" s="1"/>
  <c r="Z75" i="1" l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<sst xmlns="http://schemas.openxmlformats.org/spreadsheetml/2006/main" count="889" uniqueCount="540">
  <si>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</si>
  <si>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</si>
  <si>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</si>
  <si>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</si>
  <si>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</si>
  <si>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</si>
  <si>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</si>
  <si>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</si>
  <si>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</si>
  <si>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</si>
  <si>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</si>
  <si>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</si>
  <si>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</si>
  <si>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</si>
  <si>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</si>
  <si>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</si>
  <si>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</si>
  <si>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</si>
  <si>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</si>
  <si>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</si>
  <si>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</si>
  <si>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</si>
  <si>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</si>
  <si>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</si>
  <si>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</si>
  <si>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</si>
  <si>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</si>
  <si>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</si>
  <si>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</si>
  <si>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</si>
  <si>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</si>
  <si>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</si>
  <si>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</si>
  <si>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</si>
  <si>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</si>
  <si>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</si>
  <si>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</si>
  <si>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</si>
  <si>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</si>
  <si>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</si>
  <si>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</si>
  <si>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</si>
  <si>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</si>
  <si>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</si>
  <si>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</si>
  <si>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</si>
  <si>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</si>
  <si>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</si>
  <si>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</si>
  <si>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</si>
  <si>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</si>
  <si>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</si>
  <si>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</si>
  <si>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</si>
  <si>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</si>
  <si>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</si>
  <si>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</si>
  <si>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</si>
  <si>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</si>
  <si>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</si>
  <si>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</si>
  <si>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</si>
  <si>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</si>
  <si>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</si>
  <si>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</si>
  <si>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</si>
  <si>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</si>
  <si>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</si>
  <si>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</si>
  <si>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</si>
  <si>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</si>
  <si>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</si>
  <si>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</si>
  <si>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</si>
  <si>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</si>
  <si>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</si>
  <si>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</si>
  <si>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</si>
  <si>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</si>
  <si>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</si>
  <si>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</si>
  <si>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</si>
  <si>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</si>
  <si>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</si>
  <si>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</si>
  <si>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</si>
  <si>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</si>
  <si>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</si>
  <si>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</si>
  <si>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</si>
  <si>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</si>
  <si>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</si>
  <si>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</si>
  <si>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</si>
  <si>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</si>
  <si>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</si>
  <si>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</si>
  <si>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</si>
  <si>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</si>
  <si>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</si>
  <si>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</si>
  <si>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</si>
  <si>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</si>
  <si>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</si>
  <si>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</si>
  <si>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</si>
  <si>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</si>
  <si>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</si>
  <si>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</si>
  <si>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</si>
  <si>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</si>
  <si>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</si>
  <si>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</si>
  <si>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</si>
  <si>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</si>
  <si>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</si>
  <si>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</si>
  <si>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</si>
  <si>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</si>
  <si>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</si>
  <si>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</si>
  <si>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</si>
  <si>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</si>
  <si>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</si>
  <si>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</si>
  <si>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</si>
  <si>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</si>
  <si>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</si>
  <si>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</si>
  <si>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</si>
  <si>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</si>
  <si>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</si>
  <si>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</si>
  <si>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</si>
  <si>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</si>
  <si>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</si>
  <si>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</si>
  <si>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</si>
  <si>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</si>
  <si>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</si>
  <si>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</si>
  <si>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</si>
  <si>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</si>
  <si>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</si>
  <si>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</si>
  <si>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</si>
  <si>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</si>
  <si>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</si>
  <si>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</si>
  <si>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</si>
  <si>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</si>
  <si>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</si>
  <si>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</si>
  <si>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</si>
  <si>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</si>
  <si>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</si>
  <si>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</si>
  <si>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</si>
  <si>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</si>
  <si>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</si>
  <si>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</si>
  <si>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</si>
  <si>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</si>
  <si>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</si>
  <si>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</si>
  <si>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</si>
  <si>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</si>
  <si>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</si>
  <si>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</si>
  <si>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</si>
  <si>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</si>
  <si>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</si>
  <si>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</si>
  <si>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</si>
  <si>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</si>
  <si>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</si>
  <si>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</si>
  <si>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</si>
  <si>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</si>
  <si>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</si>
  <si>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</si>
  <si>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</si>
  <si>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</si>
  <si>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</si>
  <si>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</si>
  <si>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</si>
  <si>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</si>
  <si>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</si>
  <si>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</si>
  <si>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</si>
  <si>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</si>
  <si>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</si>
  <si>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</si>
  <si>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</si>
  <si>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</si>
  <si>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</si>
  <si>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</si>
  <si>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</si>
  <si>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</si>
  <si>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</si>
  <si>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</si>
  <si>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</si>
  <si>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</si>
  <si>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</si>
  <si>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</si>
  <si>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</si>
  <si>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</si>
  <si>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</si>
  <si>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</si>
  <si>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</si>
  <si>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</si>
  <si>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</si>
  <si>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</si>
  <si>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</si>
  <si>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</si>
  <si>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</si>
  <si>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</si>
  <si>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</si>
  <si>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</si>
  <si>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</si>
  <si>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</si>
  <si>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</si>
  <si>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</si>
  <si>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</si>
  <si>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</si>
  <si>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</si>
  <si>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</si>
  <si>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</si>
  <si>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</si>
  <si>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</si>
  <si>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</si>
  <si>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</si>
  <si>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</si>
  <si>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</si>
  <si>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</si>
  <si>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</si>
  <si>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</si>
  <si>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</si>
  <si>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</si>
  <si>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</si>
  <si>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</si>
  <si>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</si>
  <si>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</si>
  <si>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</si>
  <si>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</si>
  <si>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</si>
  <si>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</si>
  <si>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</si>
  <si>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</si>
  <si>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</si>
  <si>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</si>
  <si>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</si>
  <si>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</si>
  <si>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</si>
  <si>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</si>
  <si>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</si>
  <si>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</si>
  <si>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</si>
  <si>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</si>
  <si>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</si>
  <si>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</si>
  <si>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</si>
  <si>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</si>
  <si>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</si>
  <si>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</si>
  <si>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</si>
  <si>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</si>
  <si>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</si>
  <si>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</si>
  <si>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</si>
  <si>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</si>
  <si>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</si>
  <si>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</si>
  <si>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</si>
  <si>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</si>
  <si>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</si>
  <si>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</si>
  <si>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</si>
  <si>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</si>
  <si>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</si>
  <si>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</si>
  <si>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</si>
  <si>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</si>
  <si>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</si>
  <si>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</si>
  <si>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</si>
  <si>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</si>
  <si>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</si>
  <si>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</si>
  <si>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</si>
  <si>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</si>
  <si>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</si>
  <si>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</si>
  <si>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</si>
  <si>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</si>
  <si>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</si>
  <si>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</si>
  <si>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</si>
  <si>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</si>
  <si>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</si>
  <si>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</si>
  <si>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</si>
  <si>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</si>
  <si>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</si>
  <si>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</si>
  <si>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</si>
  <si>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</si>
  <si>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</si>
  <si>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</si>
  <si>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</si>
  <si>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</si>
  <si>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</si>
  <si>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</si>
  <si>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</si>
  <si>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</si>
  <si>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</si>
  <si>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</si>
  <si>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</si>
  <si>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</si>
  <si>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</si>
  <si>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</si>
  <si>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</si>
  <si>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</si>
  <si>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</si>
  <si>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</si>
  <si>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</si>
  <si>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</si>
  <si>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</si>
  <si>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</si>
  <si>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</si>
  <si>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</si>
  <si>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</si>
  <si>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</si>
  <si>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</si>
  <si>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</si>
  <si>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</si>
  <si>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</si>
  <si>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</si>
  <si>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</si>
  <si>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</si>
  <si>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</si>
  <si>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</si>
  <si>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</si>
  <si>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</si>
  <si>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</si>
  <si>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</si>
  <si>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</si>
  <si>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</si>
  <si>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</si>
  <si>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</si>
  <si>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</si>
  <si>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</si>
  <si>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</si>
  <si>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</si>
  <si>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</si>
  <si>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</si>
  <si>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</si>
  <si>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</si>
  <si>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</si>
  <si>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</si>
  <si>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</si>
  <si>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</si>
  <si>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</si>
  <si>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</si>
  <si>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</si>
  <si>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</si>
  <si>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</si>
  <si>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</si>
  <si>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</si>
  <si>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</si>
  <si>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</si>
  <si>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</si>
  <si>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</si>
  <si>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</si>
  <si>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</si>
  <si>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</si>
  <si>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</si>
  <si>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</si>
  <si>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</si>
  <si>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</si>
  <si>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</si>
  <si>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</si>
  <si>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</si>
  <si>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</si>
  <si>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</si>
  <si>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</si>
  <si>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</si>
  <si>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</si>
  <si>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</si>
  <si>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</si>
  <si>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</si>
  <si>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</si>
  <si>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</si>
  <si>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</si>
  <si>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</si>
  <si>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</si>
  <si>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</si>
  <si>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</si>
  <si>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</si>
  <si>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</si>
  <si>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</si>
  <si>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</si>
  <si>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</si>
  <si>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</si>
  <si>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</si>
  <si>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</si>
  <si>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</si>
  <si>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</si>
  <si>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</si>
  <si>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</si>
  <si>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</si>
  <si>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</si>
  <si>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</si>
  <si>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</si>
  <si>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</si>
  <si>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</si>
  <si>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</si>
  <si>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</si>
  <si>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</si>
  <si>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</si>
  <si>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</si>
  <si>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</si>
  <si>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</si>
  <si>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</si>
  <si>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</si>
  <si>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</si>
  <si>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</si>
  <si>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</si>
  <si>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</si>
  <si>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</si>
  <si>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</si>
  <si>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</si>
  <si>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</si>
  <si>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</si>
  <si>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</si>
  <si>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</si>
  <si>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</si>
  <si>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</si>
  <si>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</si>
  <si>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</si>
  <si>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</si>
  <si>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</si>
  <si>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</si>
  <si>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</si>
  <si>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</si>
  <si>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</si>
  <si>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</si>
  <si>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</si>
  <si>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</si>
  <si>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</si>
  <si>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</si>
  <si>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</si>
  <si>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</si>
  <si>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</si>
  <si>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</si>
  <si>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</si>
  <si>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</si>
  <si>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</si>
  <si>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</si>
  <si>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</si>
  <si>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</si>
  <si>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</si>
  <si>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</si>
  <si>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</si>
  <si>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</si>
  <si>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</si>
  <si>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</si>
  <si>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</si>
  <si>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</si>
  <si>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</si>
  <si>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</si>
  <si>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</si>
  <si>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</si>
  <si>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</si>
  <si>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</si>
  <si>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</si>
  <si>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</si>
  <si>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</si>
  <si>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</si>
  <si>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</si>
  <si>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</si>
  <si>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</si>
  <si>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</si>
  <si>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</si>
  <si>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</si>
  <si>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</si>
  <si>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</si>
  <si>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</si>
  <si>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</si>
  <si>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</si>
  <si>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</si>
  <si>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</si>
  <si>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</si>
  <si>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</si>
  <si>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</si>
  <si>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</si>
  <si>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</si>
  <si>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</si>
  <si>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</si>
  <si>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</si>
  <si>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</si>
  <si>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</si>
  <si>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</si>
  <si>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</si>
  <si>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</si>
  <si>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</si>
  <si>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</si>
  <si>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</si>
  <si>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</si>
  <si>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</si>
  <si>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</si>
  <si>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</si>
  <si>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</si>
  <si>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</si>
  <si>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</si>
  <si>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</si>
  <si>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</si>
  <si>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</si>
  <si>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</si>
  <si>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</si>
  <si>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</si>
  <si>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</si>
  <si>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</si>
  <si>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</si>
  <si>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>20 ml</t>
  </si>
  <si>
    <t>Pilot 150, 190 cm</t>
  </si>
  <si>
    <t>Pilot 150, 300 cm</t>
  </si>
  <si>
    <t>Вольхин М.В.</t>
  </si>
  <si>
    <t>Кокурин В.Н.</t>
  </si>
  <si>
    <t>21:42</t>
  </si>
  <si>
    <t>Левый</t>
  </si>
  <si>
    <t>неровности контуров, кальциноз</t>
  </si>
  <si>
    <t xml:space="preserve">выраженный кальциноз на протяжении всей артерии. Пролонгированный стеноз проксимального сегмента от устья 90%, субокклюзирующий стеноз среднего сегмента, пролонгированный стеноз дистального сегмента 70%. Антеградный кровоток - TIMI II. </t>
  </si>
  <si>
    <t>бассейн гипоплазирован, без значимых стенозов. Антеградный кровоток - TIMI III.</t>
  </si>
  <si>
    <r>
      <t xml:space="preserve">выраженный кальциноз на протяжении проксимального и среднего сегментов, на границе проксимального и среднего сегментов определяется ХТО.   Антеградный кровоток по ПНА - TIMI 0. Ретроградно контрастируются дистальный и средний сегменты за счёт бассейна ПКА. Rentrop 3.  </t>
    </r>
    <r>
      <rPr>
        <b/>
        <sz val="11"/>
        <color theme="1"/>
        <rFont val="Arial Narrow"/>
        <family val="2"/>
        <charset val="204"/>
      </rPr>
      <t>ИМА:</t>
    </r>
    <r>
      <rPr>
        <sz val="11"/>
        <color theme="1"/>
        <rFont val="Arial Narrow"/>
        <family val="2"/>
        <charset val="204"/>
      </rPr>
      <t xml:space="preserve"> стеноз прокс/3 до 50%. Антеградный кровоток - TIMI III.</t>
    </r>
  </si>
  <si>
    <t>С учётом клиники и ангиографических данных совместно с дежурным кардиологом принято решение в пользу реваскуляризации бассейна ОА</t>
  </si>
  <si>
    <t>1) Контроль места пункции, повязка на 6ч. 2) Консультация кардиохирурга.</t>
  </si>
  <si>
    <t>150 ml</t>
  </si>
  <si>
    <t>Устье ЛКА катетеризировано проводниковым катетером Launcher EBU 3.5 6Fr. Коронарный проводник Fielder (1 шт) проведен в дистальный сегмент ОА. С техническими сложностями из-за кальция на гайд extension катетере удалось последовательно БК колибри 1.5 -10 и 2.0-15  выполнить ангиопластику значимых стенозов проксимального и среднего сегмента ОА .От стентирования решено воздержаться т.к крайне высоки риски неудачного проведения стента в зону стенозов и мальпозиции из-за выраженного кальция.  Ангиографический результат субоптимальный. Резидуальные стенозы 60-70% без признаков тромбирования и диссекции.   Пациент в стабильном состоянии транспортируется в ПРИТ для дальнейшего наблюдения и лечения.состоянии транспортируется в ПРИТ для дальнейшего наблюдения и лечения.</t>
  </si>
  <si>
    <t>1,5 - 10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</si>
</sst>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3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2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9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68" fillId="0" borderId="0" xfId="0" applyFont="1" applyAlignment="1" applyProtection="1">
      <alignment horizontal="justify" vertical="top" wrapText="1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1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8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1" fillId="0" borderId="5" xfId="0" applyFont="1" applyBorder="1" applyAlignment="1" applyProtection="1">
      <alignment horizontal="justify" vertical="top" wrapText="1"/>
      <protection locked="0"/>
    </xf>
    <xf numFmtId="0" fontId="61" fillId="0" borderId="11" xfId="0" applyFont="1" applyBorder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4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B11" sqref="B11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45601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0.71875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0.72569444444444453</v>
      </c>
      <c r="C10" s="54"/>
      <c r="D10" s="94" t="s">
        <v>173</v>
      </c>
      <c r="E10" s="92"/>
      <c r="F10" s="92"/>
      <c r="G10" s="23" t="s">
        <v>275</v>
      </c>
      <c r="H10" s="25"/>
    </row>
    <row r="11" spans="1:8" ht="17.25" thickTop="1" thickBot="1">
      <c r="A11" s="88" t="s">
        <v>192</v>
      </c>
      <c r="B11" s="202" t="s">
        <v>528</v>
      </c>
      <c r="C11" s="8"/>
      <c r="D11" s="94" t="s">
        <v>170</v>
      </c>
      <c r="E11" s="92"/>
      <c r="F11" s="92"/>
      <c r="G11" s="23" t="s">
        <v>364</v>
      </c>
      <c r="H11" s="25"/>
    </row>
    <row r="12" spans="1:8" ht="16.5" thickTop="1">
      <c r="A12" s="80" t="s">
        <v>8</v>
      </c>
      <c r="B12" s="81">
        <v>19147</v>
      </c>
      <c r="C12" s="11"/>
      <c r="D12" s="94" t="s">
        <v>303</v>
      </c>
      <c r="E12" s="92"/>
      <c r="F12" s="92"/>
      <c r="G12" s="23" t="s">
        <v>369</v>
      </c>
      <c r="H12" s="25"/>
    </row>
    <row r="13" spans="1:8" ht="15.75">
      <c r="A13" s="14" t="s">
        <v>10</v>
      </c>
      <c r="B13" s="29">
        <f>DATEDIF(B12,B8,"y")</f>
        <v>72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31347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399</v>
      </c>
      <c r="H15" s="168" t="s">
        <v>529</v>
      </c>
    </row>
    <row r="16" spans="1:8" ht="15.6" customHeight="1">
      <c r="A16" s="14" t="s">
        <v>106</v>
      </c>
      <c r="B16" s="18" t="s">
        <v>312</v>
      </c>
      <c r="C16"/>
      <c r="D16" s="35"/>
      <c r="E16" s="35"/>
      <c r="F16" s="35"/>
      <c r="G16" s="165" t="s">
        <v>401</v>
      </c>
      <c r="H16" s="163">
        <v>9690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388</v>
      </c>
      <c r="H17" s="167">
        <f>H16*0.0019</f>
        <v>18.411000000000001</v>
      </c>
    </row>
    <row r="18" spans="1:8" ht="14.45" customHeight="1">
      <c r="A18" s="56" t="s">
        <v>188</v>
      </c>
      <c r="B18" s="86" t="s">
        <v>530</v>
      </c>
      <c r="C18"/>
      <c r="D18" s="27" t="s">
        <v>210</v>
      </c>
      <c r="E18" s="27"/>
      <c r="F18" s="27"/>
      <c r="G18" s="84" t="s">
        <v>189</v>
      </c>
      <c r="H18" s="85" t="s">
        <v>506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531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271</v>
      </c>
      <c r="B22" s="229" t="s">
        <v>534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31"/>
      <c r="C23" s="231"/>
      <c r="D23" s="231"/>
      <c r="E23" s="231"/>
      <c r="F23" s="231"/>
      <c r="G23" s="231"/>
      <c r="H23" s="232"/>
    </row>
    <row r="24" spans="1:8" ht="14.45" customHeight="1">
      <c r="A24" s="59"/>
      <c r="B24" s="231"/>
      <c r="C24" s="231"/>
      <c r="D24" s="231"/>
      <c r="E24" s="231"/>
      <c r="F24" s="231"/>
      <c r="G24" s="231"/>
      <c r="H24" s="232"/>
    </row>
    <row r="25" spans="1:8" ht="14.45" customHeight="1">
      <c r="A25" s="37"/>
      <c r="B25" s="231"/>
      <c r="C25" s="231"/>
      <c r="D25" s="231"/>
      <c r="E25" s="231"/>
      <c r="F25" s="231"/>
      <c r="G25" s="231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29" t="s">
        <v>532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31"/>
      <c r="C28" s="231"/>
      <c r="D28" s="231"/>
      <c r="E28" s="231"/>
      <c r="F28" s="231"/>
      <c r="G28" s="231"/>
      <c r="H28" s="232"/>
    </row>
    <row r="29" spans="1:8" ht="14.45" customHeight="1">
      <c r="A29" s="37"/>
      <c r="B29" s="231"/>
      <c r="C29" s="231"/>
      <c r="D29" s="231"/>
      <c r="E29" s="231"/>
      <c r="F29" s="231"/>
      <c r="G29" s="231"/>
      <c r="H29" s="232"/>
    </row>
    <row r="30" spans="1:8" ht="14.45" customHeight="1">
      <c r="A30" s="31"/>
      <c r="B30" s="231"/>
      <c r="C30" s="231"/>
      <c r="D30" s="231"/>
      <c r="E30" s="231"/>
      <c r="F30" s="231"/>
      <c r="G30" s="231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29" t="s">
        <v>533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31"/>
      <c r="C33" s="231"/>
      <c r="D33" s="231"/>
      <c r="E33" s="231"/>
      <c r="F33" s="231"/>
      <c r="G33" s="231"/>
      <c r="H33" s="232"/>
    </row>
    <row r="34" spans="1:8" ht="15.6" customHeight="1">
      <c r="A34" s="37"/>
      <c r="B34" s="231"/>
      <c r="C34" s="231"/>
      <c r="D34" s="231"/>
      <c r="E34" s="231"/>
      <c r="F34" s="231"/>
      <c r="G34" s="231"/>
      <c r="H34" s="232"/>
    </row>
    <row r="35" spans="1:8" ht="14.45" customHeight="1">
      <c r="A35" s="37"/>
      <c r="B35" s="231"/>
      <c r="C35" s="231"/>
      <c r="D35" s="231"/>
      <c r="E35" s="231"/>
      <c r="F35" s="231"/>
      <c r="G35" s="231"/>
      <c r="H35" s="232"/>
    </row>
    <row r="36" spans="1:8" ht="15.6" customHeight="1">
      <c r="A36" s="37"/>
      <c r="B36" s="231"/>
      <c r="C36" s="231"/>
      <c r="D36" s="231"/>
      <c r="E36" s="231"/>
      <c r="F36" s="231"/>
      <c r="G36" s="231"/>
      <c r="H36" s="232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/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535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4"/>
      <c r="C49" s="205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199</v>
      </c>
      <c r="B51" s="62" t="s">
        <v>521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I31" sqref="I31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208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4" t="s">
        <v>209</v>
      </c>
      <c r="D8" s="244"/>
      <c r="E8" s="244"/>
      <c r="F8" s="189"/>
      <c r="G8" s="117"/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0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45601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0.72569444444444453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0.77430555555555547</v>
      </c>
      <c r="C14" s="11"/>
      <c r="D14" s="94" t="s">
        <v>173</v>
      </c>
      <c r="E14" s="92"/>
      <c r="F14" s="92"/>
      <c r="G14" s="79" t="str">
        <f>КАГ!G10</f>
        <v>Синицина И.А.</v>
      </c>
      <c r="H14" s="90" t="str">
        <f>IF(ISBLANK(КАГ!H10),"",КАГ!H10)</f>
        <v/>
      </c>
    </row>
    <row r="15" spans="1:8" ht="16.5" thickBot="1">
      <c r="A15" s="162" t="s">
        <v>387</v>
      </c>
      <c r="B15" s="187">
        <f>IF(B14&lt;B13,B14+1,B14)-B13</f>
        <v>4.8611111111110938E-2</v>
      </c>
      <c r="C15"/>
      <c r="D15" s="94" t="s">
        <v>170</v>
      </c>
      <c r="E15" s="92"/>
      <c r="F15" s="92"/>
      <c r="G15" s="79" t="str">
        <f>КАГ!G11</f>
        <v>Соболев Д.А.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Кокурин В.Н.</v>
      </c>
      <c r="C16" s="199">
        <f>LEN(КАГ!B11)</f>
        <v>12</v>
      </c>
      <c r="D16" s="94" t="s">
        <v>303</v>
      </c>
      <c r="E16" s="92"/>
      <c r="F16" s="92"/>
      <c r="G16" s="79" t="str">
        <f>КАГ!G12</f>
        <v>Фисура О.И.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19147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72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31347</v>
      </c>
      <c r="C19" s="68"/>
      <c r="D19" s="68"/>
      <c r="E19" s="68"/>
      <c r="F19" s="68"/>
      <c r="G19" s="164" t="s">
        <v>399</v>
      </c>
      <c r="H19" s="179" t="str">
        <f>КАГ!H15</f>
        <v>21:42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401</v>
      </c>
      <c r="H20" s="180">
        <f>КАГ!H16</f>
        <v>9690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388</v>
      </c>
      <c r="H21" s="167">
        <f>КАГ!H17</f>
        <v>18.411000000000001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71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389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538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395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>
      <c r="A39" s="172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393</v>
      </c>
      <c r="B40" s="177" t="s">
        <v>524</v>
      </c>
      <c r="C40" s="119"/>
      <c r="D40" s="249" t="s">
        <v>536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199</v>
      </c>
      <c r="B50" s="62" t="s">
        <v>537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371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Левый
Ствол ЛКА:   неровности контуров, кальциноз
Бассейн ПНА:   выраженный кальциноз на протяжении проксимального и среднего сегментов, на границе проксимального и среднего сегментов определяется ХТО.   Антеградный кровоток по ПНА - TIMI 0. Ретроградно контрастируются дистальный и средний сегменты за счёт бассейна ПКА. Rentrop 3.  ИМА: стеноз прокс/3 до 50%. Антеградный кровоток - TIMI III.
Бассейн  ОА:   выраженный кальциноз на протяжении всей артерии. Пролонгированный стеноз проксимального сегмента от устья 90%, субокклюзирующий стеноз среднего сегмента, пролонгированный стеноз дистального сегмента 70%. Антеградный кровоток - TIMI II. 
Бассейн ПКА:   бассейн гипоплазирован, без значимых стенозов. Антеградный кровоток - 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D21" sqref="D21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45601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Кокурин В.Н.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19147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72</v>
      </c>
    </row>
    <row r="7" spans="1:4">
      <c r="A7" s="37"/>
      <c r="B7"/>
      <c r="C7" s="100" t="s">
        <v>12</v>
      </c>
      <c r="D7" s="102">
        <f>КАГ!$B$14</f>
        <v>31347</v>
      </c>
    </row>
    <row r="8" spans="1:4">
      <c r="A8" s="193" t="str">
        <f>ЧКВ!$A$9</f>
        <v xml:space="preserve">Код модели: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45601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3" t="s">
        <v>315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3" t="s">
        <v>375</v>
      </c>
      <c r="C15" s="134" t="s">
        <v>539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375</v>
      </c>
      <c r="C16" s="134" t="s">
        <v>406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Extension катетер</v>
      </c>
      <c r="B17" s="153" t="s">
        <v>344</v>
      </c>
      <c r="C17" s="134"/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377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517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O5" sqref="AO5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Fielder</v>
      </c>
      <c r="T2" s="114" t="str">
        <f>IFERROR(INDEX(Расходка[Наименование расходного материала],MATCH(Расходка[[#This Row],[№]],Поиск_расходки[Индекс3],0)),"")</f>
        <v>Колибри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Telescope ™ II 6F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309</v>
      </c>
      <c r="AO2" s="208" t="s">
        <v>496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>Fielder XT-A</v>
      </c>
      <c r="T3" s="114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489</v>
      </c>
      <c r="AO3" t="s">
        <v>497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3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>Fielder XT-R</v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>Euphora</v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502</v>
      </c>
      <c r="AO4" t="s">
        <v>499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4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>NC Accuforce</v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5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>NC Euphora</v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6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>Sapphire</v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7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>Sprinter Legend</v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8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1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9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>Колибри</v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2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10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515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12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>Nitrex 260</v>
      </c>
      <c r="X13" s="114" t="str">
        <f>IFERROR(INDEX(Расходка[Наименование расходного материала],MATCH(Расходка[[#This Row],[№]],Поиск_расходки[Индекс7],0)),"")</f>
        <v>Nitrex 260</v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13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>RadiFocus</v>
      </c>
      <c r="X14" s="114" t="str">
        <f>IFERROR(INDEX(Расходка[Наименование расходного материала],MATCH(Расходка[[#This Row],[№]],Поиск_расходки[Индекс7],0)),"")</f>
        <v>RadiFocus</v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14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>BasixCOMPAK</v>
      </c>
      <c r="X15" s="114" t="str">
        <f>IFERROR(INDEX(Расходка[Наименование расходного материала],MATCH(Расходка[[#This Row],[№]],Поиск_расходки[Индекс7],0)),"")</f>
        <v>BasixCOMPAK</v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15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>BasixTOUCH</v>
      </c>
      <c r="X16" s="114" t="str">
        <f>IFERROR(INDEX(Расходка[Наименование расходного материала],MATCH(Расходка[[#This Row],[№]],Поиск_расходки[Индекс7],0)),"")</f>
        <v>BasixTOUCH</v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16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>Dolphin</v>
      </c>
      <c r="X17" s="114" t="str">
        <f>IFERROR(INDEX(Расходка[Наименование расходного материала],MATCH(Расходка[[#This Row],[№]],Поиск_расходки[Индекс7],0)),"")</f>
        <v>Dolphin</v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17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>Lepu Medical</v>
      </c>
      <c r="X18" s="114" t="str">
        <f>IFERROR(INDEX(Расходка[Наименование расходного материала],MATCH(Расходка[[#This Row],[№]],Поиск_расходки[Индекс7],0)),"")</f>
        <v>Lepu Medical</v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18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19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>Demax</v>
      </c>
      <c r="X20" s="114" t="str">
        <f>IFERROR(INDEX(Расходка[Наименование расходного материала],MATCH(Расходка[[#This Row],[№]],Поиск_расходки[Индекс7],0)),"")</f>
        <v>Demax</v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20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>Oscor 7F</v>
      </c>
      <c r="X21" s="114" t="str">
        <f>IFERROR(INDEX(Расходка[Наименование расходного материала],MATCH(Расходка[[#This Row],[№]],Поиск_расходки[Индекс7],0)),"")</f>
        <v>Oscor 7F</v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508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21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510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22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23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24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25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1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26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>Fielder</v>
      </c>
      <c r="X27" s="114" t="str">
        <f>IFERROR(INDEX(Расходка[Наименование расходного материала],MATCH(Расходка[[#This Row],[№]],Поиск_расходки[Индекс7],0)),"")</f>
        <v>Fielder</v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2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27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>Fielder XT-A</v>
      </c>
      <c r="X28" s="114" t="str">
        <f>IFERROR(INDEX(Расходка[Наименование расходного материала],MATCH(Расходка[[#This Row],[№]],Поиск_расходки[Индекс7],0)),"")</f>
        <v>Fielder XT-A</v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3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28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>Fielder XT-R</v>
      </c>
      <c r="X29" s="114" t="str">
        <f>IFERROR(INDEX(Расходка[Наименование расходного материала],MATCH(Расходка[[#This Row],[№]],Поиск_расходки[Индекс7],0)),"")</f>
        <v>Fielder XT-R</v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512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29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513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30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514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31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32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>Intuition</v>
      </c>
      <c r="X33" s="114" t="str">
        <f>IFERROR(INDEX(Расходка[Наименование расходного материала],MATCH(Расходка[[#This Row],[№]],Поиск_расходки[Индекс7],0)),"")</f>
        <v>Intuition</v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33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34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35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36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>Rinato</v>
      </c>
      <c r="X37" s="114" t="str">
        <f>IFERROR(INDEX(Расходка[Наименование расходного материала],MATCH(Расходка[[#This Row],[№]],Поиск_расходки[Индекс7],0)),"")</f>
        <v>Rinato</v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37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38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39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40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>Sion</v>
      </c>
      <c r="X41" s="114" t="str">
        <f>IFERROR(INDEX(Расходка[Наименование расходного материала],MATCH(Расходка[[#This Row],[№]],Поиск_расходки[Индекс7],0)),"")</f>
        <v>Sion</v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41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>Sion Black</v>
      </c>
      <c r="X42" s="114" t="str">
        <f>IFERROR(INDEX(Расходка[Наименование расходного материала],MATCH(Расходка[[#This Row],[№]],Поиск_расходки[Индекс7],0)),"")</f>
        <v>Sion Black</v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42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>Sion Blue</v>
      </c>
      <c r="X43" s="114" t="str">
        <f>IFERROR(INDEX(Расходка[Наименование расходного материала],MATCH(Расходка[[#This Row],[№]],Поиск_расходки[Индекс7],0)),"")</f>
        <v>Sion Blue</v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43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>Thunder</v>
      </c>
      <c r="X44" s="114" t="str">
        <f>IFERROR(INDEX(Расходка[Наименование расходного материала],MATCH(Расходка[[#This Row],[№]],Поиск_расходки[Индекс7],0)),"")</f>
        <v>Thunder</v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522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44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523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45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46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>Winn 200T</v>
      </c>
      <c r="X47" s="114" t="str">
        <f>IFERROR(INDEX(Расходка[Наименование расходного материала],MATCH(Расходка[[#This Row],[№]],Поиск_расходки[Индекс7],0)),"")</f>
        <v>Winn 200T</v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47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511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48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49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509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50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520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51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>Shunmei</v>
      </c>
      <c r="X52" s="114" t="str">
        <f>IFERROR(INDEX(Расходка[Наименование расходного материала],MATCH(Расходка[[#This Row],[№]],Поиск_расходки[Индекс7],0)),"")</f>
        <v>Shunmei</v>
      </c>
      <c r="Y52" s="114" t="str">
        <f>IFERROR(INDEX(Расходка[Наименование расходного материала],MATCH(Расходка[[#This Row],[№]],Поиск_расходки[Индекс8],0)),"")</f>
        <v>Shunmei</v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525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52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3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3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526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53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4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4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54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>BMS, Integtity</v>
      </c>
      <c r="X55" s="114" t="str">
        <f>IFERROR(INDEX(Расходка[Наименование расходного материала],MATCH(Расходка[[#This Row],[№]],Поиск_расходки[Индекс7],0)),"")</f>
        <v>BMS, Integtity</v>
      </c>
      <c r="Y55" s="114" t="str">
        <f>IFERROR(INDEX(Расходка[Наименование расходного материала],MATCH(Расходка[[#This Row],[№]],Поиск_расходки[Индекс8],0)),"")</f>
        <v>BMS, Integtity</v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55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>DES, Calipso</v>
      </c>
      <c r="X56" s="114" t="str">
        <f>IFERROR(INDEX(Расходка[Наименование расходного материала],MATCH(Расходка[[#This Row],[№]],Поиск_расходки[Индекс7],0)),"")</f>
        <v>DES, Calipso</v>
      </c>
      <c r="Y56" s="114" t="str">
        <f>IFERROR(INDEX(Расходка[Наименование расходного материала],MATCH(Расходка[[#This Row],[№]],Поиск_расходки[Индекс8],0)),"")</f>
        <v>DES, Calipso</v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56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>DES, NanoMed</v>
      </c>
      <c r="X57" s="114" t="str">
        <f>IFERROR(INDEX(Расходка[Наименование расходного материала],MATCH(Расходка[[#This Row],[№]],Поиск_расходки[Индекс7],0)),"")</f>
        <v>DES, NanoMed</v>
      </c>
      <c r="Y57" s="114" t="str">
        <f>IFERROR(INDEX(Расходка[Наименование расходного материала],MATCH(Расходка[[#This Row],[№]],Поиск_расходки[Индекс8],0)),"")</f>
        <v>DES, NanoMed</v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57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8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8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58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59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59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59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>DES, Firehawk</v>
      </c>
      <c r="X60" s="114" t="str">
        <f>IFERROR(INDEX(Расходка[Наименование расходного материала],MATCH(Расходка[[#This Row],[№]],Поиск_расходки[Индекс7],0)),"")</f>
        <v>DES, Firehawk</v>
      </c>
      <c r="Y60" s="114" t="str">
        <f>IFERROR(INDEX(Расходка[Наименование расходного материала],MATCH(Расходка[[#This Row],[№]],Поиск_расходки[Индекс8],0)),"")</f>
        <v>DES, Firehawk</v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60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1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1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518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61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62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2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519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62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>Meril Evermine50™</v>
      </c>
      <c r="X63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63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63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>Guidezilla™ II 6F</v>
      </c>
      <c r="X64" s="114" t="str">
        <f>IFERROR(INDEX(Расходка[Наименование расходного материала],MATCH(Расходка[[#This Row],[№]],Поиск_расходки[Индекс7],0)),"")</f>
        <v>Guidezilla™ II 6F</v>
      </c>
      <c r="Y64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1</v>
      </c>
      <c r="J65" s="115">
        <f>IF(ISNUMBER(SEARCH('Карта учёта'!$B$18,Расходка[[#This Row],[Наименование расходного материала]])),MAX($J$1:J64)+1,0)</f>
        <v>64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>Telescope ™ II 6F</v>
      </c>
      <c r="X65" s="114" t="str">
        <f>IFERROR(INDEX(Расходка[Наименование расходного материала],MATCH(Расходка[[#This Row],[№]],Поиск_расходки[Индекс7],0)),"")</f>
        <v>Telescope ™ II 6F</v>
      </c>
      <c r="Y65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65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>Launcher 6F AL 1</v>
      </c>
      <c r="X66" s="114" t="str">
        <f>IFERROR(INDEX(Расходка[Наименование расходного материала],MATCH(Расходка[[#This Row],[№]],Поиск_расходки[Индекс7],0)),"")</f>
        <v>Launcher 6F AL 1</v>
      </c>
      <c r="Y66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66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>Launcher 6F AL 2</v>
      </c>
      <c r="X67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67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67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67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>Launcher 6F EBU 3.5</v>
      </c>
      <c r="X68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68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68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68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>Launcher 6F EBU 4.0</v>
      </c>
      <c r="X69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69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69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69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>Launcher 6F JL 3.5</v>
      </c>
      <c r="X70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0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0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70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>Launcher 6F JL 4.0</v>
      </c>
      <c r="X71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1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1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71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>Launcher 6F JL 4.5</v>
      </c>
      <c r="X72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72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>Launcher 6F JR 3.5</v>
      </c>
      <c r="X73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3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3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73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>Launcher 6F JR 4.0</v>
      </c>
      <c r="X74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4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4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74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>Launcher 7F JL 3.5</v>
      </c>
      <c r="X75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75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5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75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>Launcher 7F JL 4.0</v>
      </c>
      <c r="X76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76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76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76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>Angio-Seal™ VIP</v>
      </c>
      <c r="X77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77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77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468</v>
      </c>
    </row>
    <row r="78" spans="1:33"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0</v>
      </c>
      <c r="O78" s="196">
        <f>IF(ISNUMBER(SEARCH('Карта учёта'!$B$23,Расходка[[#This Row],[Наименование расходного материала]])),MAX($O$1:O77)+1,0)</f>
        <v>0</v>
      </c>
      <c r="P78" s="196">
        <f>IF(ISNUMBER(SEARCH('Карта учёта'!$B$24,Расходка[[#This Row],[Наименование расходного материала]])),MAX($P$1:P77)+1,0)</f>
        <v>0</v>
      </c>
      <c r="Q78" s="196">
        <f>IF(ISNUMBER(SEARCH('Карта учёта'!$B$25,Расходка[[#This Row],[Наименование расходного материала]])),MAX($Q$1:Q77)+1,0)</f>
        <v>0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/>
      </c>
      <c r="AB78" s="197" t="str">
        <f>IFERROR(INDEX(Расходка[Наименование расходного материала],MATCH(Расходка[[#This Row],[№]],Поиск_расходки[Индекс11],0)),"")</f>
        <v/>
      </c>
      <c r="AC78" s="197" t="str">
        <f>IFERROR(INDEX(Расходка[Наименование расходного материала],MATCH(Расходка[[#This Row],[№]],Поиск_расходки[Индекс12],0)),"")</f>
        <v/>
      </c>
      <c r="AD78" s="197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36" zoomScale="90" zoomScaleNormal="90" workbookViewId="0">
      <selection activeCell="A63" sqref="A6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303</v>
      </c>
      <c r="B56" t="s">
        <v>527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342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367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2024-11-05T16:05:46Z</cp:lastPrinted>
  <dcterms:created xsi:type="dcterms:W3CDTF">2015-06-05T18:19:34Z</dcterms:created>
  <dcterms:modified xsi:type="dcterms:W3CDTF">2024-11-05T16:06:25Z</dcterms:modified>
</cp:coreProperties>
</file>