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77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AD7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75" i="1" l="1"/>
  <c r="O77" i="1"/>
  <c r="AB7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76" i="1" l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S77" i="1" s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66" i="1" l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U77" i="1" s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U65" i="1" l="1"/>
  <c r="U76" i="1"/>
  <c r="U53" i="1"/>
  <c r="U50" i="1"/>
  <c r="U48" i="1"/>
  <c r="U62" i="1"/>
  <c r="U43" i="1"/>
  <c r="U67" i="1"/>
  <c r="U71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77" i="1" s="1"/>
  <c r="I75" i="1"/>
  <c r="V77" i="1" s="1"/>
  <c r="W62" i="1"/>
  <c r="W39" i="1"/>
  <c r="W54" i="1"/>
  <c r="W47" i="1"/>
  <c r="W55" i="1"/>
  <c r="W57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62" i="1"/>
  <c r="V5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57" i="1" l="1"/>
  <c r="V71" i="1"/>
  <c r="V73" i="1"/>
  <c r="V76" i="1"/>
  <c r="V40" i="1"/>
  <c r="V58" i="1"/>
  <c r="V68" i="1"/>
  <c r="V51" i="1"/>
  <c r="W75" i="1"/>
  <c r="W76" i="1"/>
  <c r="W50" i="1"/>
  <c r="W69" i="1"/>
  <c r="W71" i="1"/>
  <c r="W42" i="1"/>
  <c r="W48" i="1"/>
  <c r="V61" i="1"/>
  <c r="V55" i="1"/>
  <c r="V52" i="1"/>
  <c r="V67" i="1"/>
  <c r="V64" i="1"/>
  <c r="V74" i="1"/>
  <c r="V63" i="1"/>
  <c r="V46" i="1"/>
  <c r="V66" i="1"/>
  <c r="V47" i="1"/>
  <c r="V49" i="1"/>
  <c r="V54" i="1"/>
  <c r="V43" i="1"/>
  <c r="V70" i="1"/>
  <c r="V45" i="1"/>
  <c r="V72" i="1"/>
  <c r="V44" i="1"/>
  <c r="V65" i="1"/>
  <c r="V59" i="1"/>
  <c r="V48" i="1"/>
  <c r="V69" i="1"/>
  <c r="V42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X77" i="1" s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X18" i="1" l="1"/>
  <c r="X3" i="1"/>
  <c r="X5" i="1"/>
  <c r="X76" i="1"/>
  <c r="X35" i="1"/>
  <c r="X33" i="1"/>
  <c r="X30" i="1"/>
  <c r="X20" i="1"/>
  <c r="X57" i="1"/>
  <c r="X7" i="1"/>
  <c r="X25" i="1"/>
  <c r="X40" i="1"/>
  <c r="X46" i="1"/>
  <c r="X27" i="1"/>
  <c r="X28" i="1"/>
  <c r="X12" i="1"/>
  <c r="X51" i="1"/>
  <c r="X55" i="1"/>
  <c r="X75" i="1"/>
  <c r="X8" i="1"/>
  <c r="X22" i="1"/>
  <c r="X58" i="1"/>
  <c r="X62" i="1"/>
  <c r="X17" i="1"/>
  <c r="X70" i="1"/>
  <c r="X52" i="1"/>
  <c r="X69" i="1"/>
  <c r="X14" i="1"/>
  <c r="X36" i="1"/>
  <c r="X31" i="1"/>
  <c r="X64" i="1"/>
  <c r="X15" i="1"/>
  <c r="X49" i="1"/>
  <c r="X60" i="1"/>
  <c r="X19" i="1"/>
  <c r="X68" i="1"/>
  <c r="X61" i="1"/>
  <c r="X21" i="1"/>
  <c r="X63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C68" i="1" l="1"/>
  <c r="G74" i="1"/>
  <c r="G75" i="1" s="1"/>
  <c r="T77" i="1" s="1"/>
  <c r="P74" i="1"/>
  <c r="N72" i="1"/>
  <c r="N73" i="1" s="1"/>
  <c r="L67" i="1"/>
  <c r="M61" i="1"/>
  <c r="T75" i="1" l="1"/>
  <c r="T76" i="1"/>
  <c r="AC51" i="1"/>
  <c r="P75" i="1"/>
  <c r="AC73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P76" i="1" l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AC77" i="1" s="1"/>
  <c r="AC74" i="1"/>
  <c r="N76" i="1"/>
  <c r="L70" i="1"/>
  <c r="M67" i="1"/>
  <c r="N77" i="1" l="1"/>
  <c r="AA77" i="1" s="1"/>
  <c r="AA74" i="1"/>
  <c r="AC75" i="1"/>
  <c r="AC76" i="1"/>
  <c r="AA75" i="1"/>
  <c r="L71" i="1"/>
  <c r="L72" i="1" s="1"/>
  <c r="L73" i="1" s="1"/>
  <c r="M68" i="1"/>
  <c r="AA76" i="1" l="1"/>
  <c r="L74" i="1"/>
  <c r="L75" i="1" s="1"/>
  <c r="M69" i="1"/>
  <c r="L76" i="1" l="1"/>
  <c r="Y3" i="1"/>
  <c r="M70" i="1"/>
  <c r="L77" i="1" l="1"/>
  <c r="M71" i="1"/>
  <c r="Y77" i="1" l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M73" i="1" l="1"/>
  <c r="M74" i="1" l="1"/>
  <c r="M75" i="1" s="1"/>
  <c r="M76" i="1" l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M77" i="1" l="1"/>
  <c r="Z77" i="1" s="1"/>
  <c r="Z75" i="1" l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<sst xmlns="http://schemas.openxmlformats.org/spreadsheetml/2006/main" count="891" uniqueCount="539">
  <si>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</si>
  <si>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</si>
  <si>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</si>
  <si>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</si>
  <si>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</si>
  <si>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</si>
  <si>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</si>
  <si>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</si>
  <si>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</si>
  <si>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</si>
  <si>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</si>
  <si>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</si>
  <si>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</si>
  <si>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</si>
  <si>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</si>
  <si>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</si>
  <si>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</si>
  <si>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</si>
  <si>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</si>
  <si>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</si>
  <si>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</si>
  <si>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</si>
  <si>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</si>
  <si>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</si>
  <si>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</si>
  <si>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</si>
  <si>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</si>
  <si>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</si>
  <si>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</si>
  <si>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</si>
  <si>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</si>
  <si>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</si>
  <si>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</si>
  <si>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</si>
  <si>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</si>
  <si>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</si>
  <si>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</si>
  <si>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</si>
  <si>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</si>
  <si>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</si>
  <si>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</si>
  <si>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</si>
  <si>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</si>
  <si>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</si>
  <si>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</si>
  <si>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</si>
  <si>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</si>
  <si>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</si>
  <si>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</si>
  <si>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</si>
  <si>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</si>
  <si>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</si>
  <si>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</si>
  <si>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</si>
  <si>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</si>
  <si>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</si>
  <si>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</si>
  <si>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</si>
  <si>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</si>
  <si>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</si>
  <si>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</si>
  <si>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</si>
  <si>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</si>
  <si>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</si>
  <si>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</si>
  <si>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</si>
  <si>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</si>
  <si>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</si>
  <si>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</si>
  <si>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</si>
  <si>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</si>
  <si>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</si>
  <si>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</si>
  <si>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</si>
  <si>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</si>
  <si>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</si>
  <si>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</si>
  <si>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</si>
  <si>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</si>
  <si>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</si>
  <si>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</si>
  <si>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</si>
  <si>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</si>
  <si>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</si>
  <si>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</si>
  <si>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</si>
  <si>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</si>
  <si>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</si>
  <si>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</si>
  <si>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</si>
  <si>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</si>
  <si>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</si>
  <si>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</si>
  <si>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</si>
  <si>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</si>
  <si>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</si>
  <si>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</si>
  <si>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</si>
  <si>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</si>
  <si>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</si>
  <si>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</si>
  <si>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</si>
  <si>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</si>
  <si>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</si>
  <si>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</si>
  <si>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</si>
  <si>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</si>
  <si>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</si>
  <si>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</si>
  <si>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</si>
  <si>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</si>
  <si>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</si>
  <si>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</si>
  <si>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</si>
  <si>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</si>
  <si>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</si>
  <si>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</si>
  <si>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</si>
  <si>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</si>
  <si>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</si>
  <si>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</si>
  <si>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</si>
  <si>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</si>
  <si>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</si>
  <si>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</si>
  <si>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</si>
  <si>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</si>
  <si>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</si>
  <si>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</si>
  <si>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</si>
  <si>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</si>
  <si>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</si>
  <si>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</si>
  <si>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</si>
  <si>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</si>
  <si>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</si>
  <si>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</si>
  <si>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</si>
  <si>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</si>
  <si>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</si>
  <si>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</si>
  <si>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</si>
  <si>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</si>
  <si>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</si>
  <si>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</si>
  <si>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</si>
  <si>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</si>
  <si>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</si>
  <si>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</si>
  <si>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</si>
  <si>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</si>
  <si>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</si>
  <si>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</si>
  <si>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</si>
  <si>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</si>
  <si>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</si>
  <si>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</si>
  <si>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</si>
  <si>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</si>
  <si>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</si>
  <si>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</si>
  <si>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</si>
  <si>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</si>
  <si>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</si>
  <si>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</si>
  <si>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</si>
  <si>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</si>
  <si>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</si>
  <si>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</si>
  <si>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</si>
  <si>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</si>
  <si>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</si>
  <si>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</si>
  <si>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</si>
  <si>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</si>
  <si>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</si>
  <si>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</si>
  <si>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</si>
  <si>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</si>
  <si>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</si>
  <si>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</si>
  <si>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</si>
  <si>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</si>
  <si>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</si>
  <si>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</si>
  <si>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</si>
  <si>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</si>
  <si>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</si>
  <si>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</si>
  <si>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</si>
  <si>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</si>
  <si>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</si>
  <si>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</si>
  <si>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</si>
  <si>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</si>
  <si>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</si>
  <si>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</si>
  <si>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</si>
  <si>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</si>
  <si>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</si>
  <si>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</si>
  <si>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</si>
  <si>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</si>
  <si>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</si>
  <si>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</si>
  <si>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</si>
  <si>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</si>
  <si>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</si>
  <si>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</si>
  <si>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</si>
  <si>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</si>
  <si>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</si>
  <si>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</si>
  <si>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</si>
  <si>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</si>
  <si>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</si>
  <si>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</si>
  <si>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</si>
  <si>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</si>
  <si>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</si>
  <si>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</si>
  <si>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</si>
  <si>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</si>
  <si>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</si>
  <si>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</si>
  <si>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</si>
  <si>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</si>
  <si>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</si>
  <si>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</si>
  <si>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</si>
  <si>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</si>
  <si>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</si>
  <si>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</si>
  <si>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</si>
  <si>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</si>
  <si>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</si>
  <si>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</si>
  <si>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</si>
  <si>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</si>
  <si>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</si>
  <si>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</si>
  <si>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</si>
  <si>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</si>
  <si>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</si>
  <si>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</si>
  <si>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</si>
  <si>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</si>
  <si>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</si>
  <si>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</si>
  <si>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</si>
  <si>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</si>
  <si>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</si>
  <si>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</si>
  <si>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</si>
  <si>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</si>
  <si>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</si>
  <si>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</si>
  <si>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</si>
  <si>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</si>
  <si>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</si>
  <si>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</si>
  <si>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</si>
  <si>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</si>
  <si>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</si>
  <si>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</si>
  <si>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</si>
  <si>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</si>
  <si>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</si>
  <si>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</si>
  <si>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</si>
  <si>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</si>
  <si>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</si>
  <si>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</si>
  <si>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</si>
  <si>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</si>
  <si>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</si>
  <si>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</si>
  <si>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</si>
  <si>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</si>
  <si>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</si>
  <si>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</si>
  <si>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</si>
  <si>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</si>
  <si>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</si>
  <si>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</si>
  <si>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</si>
  <si>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</si>
  <si>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</si>
  <si>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</si>
  <si>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</si>
  <si>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</si>
  <si>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</si>
  <si>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</si>
  <si>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</si>
  <si>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</si>
  <si>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</si>
  <si>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</si>
  <si>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</si>
  <si>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</si>
  <si>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</si>
  <si>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</si>
  <si>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</si>
  <si>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</si>
  <si>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</si>
  <si>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</si>
  <si>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</si>
  <si>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</si>
  <si>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</si>
  <si>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</si>
  <si>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</si>
  <si>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</si>
  <si>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</si>
  <si>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</si>
  <si>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</si>
  <si>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</si>
  <si>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</si>
  <si>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</si>
  <si>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</si>
  <si>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</si>
  <si>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</si>
  <si>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</si>
  <si>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</si>
  <si>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</si>
  <si>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</si>
  <si>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</si>
  <si>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</si>
  <si>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</si>
  <si>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</si>
  <si>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</si>
  <si>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</si>
  <si>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</si>
  <si>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</si>
  <si>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</si>
  <si>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</si>
  <si>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</si>
  <si>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</si>
  <si>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</si>
  <si>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</si>
  <si>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</si>
  <si>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</si>
  <si>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</si>
  <si>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</si>
  <si>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</si>
  <si>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</si>
  <si>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</si>
  <si>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</si>
  <si>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</si>
  <si>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</si>
  <si>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</si>
  <si>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</si>
  <si>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</si>
  <si>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</si>
  <si>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</si>
  <si>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</si>
  <si>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</si>
  <si>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</si>
  <si>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</si>
  <si>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</si>
  <si>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</si>
  <si>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</si>
  <si>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</si>
  <si>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</si>
  <si>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</si>
  <si>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</si>
  <si>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</si>
  <si>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</si>
  <si>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</si>
  <si>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</si>
  <si>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</si>
  <si>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</si>
  <si>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</si>
  <si>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</si>
  <si>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</si>
  <si>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</si>
  <si>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</si>
  <si>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</si>
  <si>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</si>
  <si>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</si>
  <si>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</si>
  <si>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</si>
  <si>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</si>
  <si>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</si>
  <si>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</si>
  <si>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</si>
  <si>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</si>
  <si>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</si>
  <si>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</si>
  <si>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</si>
  <si>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</si>
  <si>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</si>
  <si>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</si>
  <si>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</si>
  <si>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</si>
  <si>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</si>
  <si>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</si>
  <si>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</si>
  <si>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</si>
  <si>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</si>
  <si>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</si>
  <si>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</si>
  <si>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</si>
  <si>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</si>
  <si>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</si>
  <si>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</si>
  <si>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</si>
  <si>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</si>
  <si>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</si>
  <si>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</si>
  <si>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</si>
  <si>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</si>
  <si>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</si>
  <si>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</si>
  <si>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</si>
  <si>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</si>
  <si>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</si>
  <si>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</si>
  <si>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</si>
  <si>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</si>
  <si>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</si>
  <si>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</si>
  <si>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</si>
  <si>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</si>
  <si>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</si>
  <si>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</si>
  <si>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</si>
  <si>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</si>
  <si>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</si>
  <si>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</si>
  <si>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</si>
  <si>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</si>
  <si>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</si>
  <si>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</si>
  <si>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</si>
  <si>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</si>
  <si>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</si>
  <si>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</si>
  <si>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</si>
  <si>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</si>
  <si>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</si>
  <si>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</si>
  <si>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</si>
  <si>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</si>
  <si>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</si>
  <si>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</si>
  <si>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</si>
  <si>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</si>
  <si>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</si>
  <si>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</si>
  <si>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</si>
  <si>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</si>
  <si>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</si>
  <si>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</si>
  <si>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</si>
  <si>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</si>
  <si>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</si>
  <si>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</si>
  <si>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</si>
  <si>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</si>
  <si>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</si>
  <si>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</si>
  <si>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</si>
  <si>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</si>
  <si>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</si>
  <si>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</si>
  <si>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</si>
  <si>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</si>
  <si>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</si>
  <si>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</si>
  <si>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</si>
  <si>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</si>
  <si>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</si>
  <si>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</si>
  <si>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</si>
  <si>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</si>
  <si>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</si>
  <si>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</si>
  <si>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</si>
  <si>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</si>
  <si>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</si>
  <si>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</si>
  <si>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</si>
  <si>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</si>
  <si>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</si>
  <si>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</si>
  <si>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</si>
  <si>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</si>
  <si>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</si>
  <si>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</si>
  <si>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</si>
  <si>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</si>
  <si>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</si>
  <si>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</si>
  <si>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</si>
  <si>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</si>
  <si>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</si>
  <si>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</si>
  <si>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</si>
  <si>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</si>
  <si>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</si>
  <si>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</si>
  <si>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</si>
  <si>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</si>
  <si>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</si>
  <si>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</si>
  <si>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</si>
  <si>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</si>
  <si>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</si>
  <si>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</si>
  <si>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</si>
  <si>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</si>
  <si>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</si>
  <si>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</si>
  <si>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</si>
  <si>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</si>
  <si>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</si>
  <si>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</si>
  <si>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</si>
  <si>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</si>
  <si>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</si>
  <si>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</si>
  <si>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</si>
  <si>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</si>
  <si>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</si>
  <si>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Правый</t>
  </si>
  <si>
    <t>Abbot Whisper MS</t>
  </si>
  <si>
    <t>Abbot Whisper LS</t>
  </si>
  <si>
    <t>20 ml</t>
  </si>
  <si>
    <t>Устье ЛКА катетеризировано проводниковым катетером Launcher EBU 3.5 6Fr. Коронарный проводник Fielder (2 шт) проведены в дистальный сегмент ПНА и ОА. Предилатация значимого стеноза БК Колибри 2,5-15 мм, давлением 16 атм. В зону остаточного стеноза из ПНА в ствол ЛКА имплантирован стент DES Resolute Integrity 3,5-15 мм, давлением 16 атм. Постдилатация и оптимизация стента БК NC Аскиома 4.0 - 8 мм, давлением до 20 атм. С учётом крайне высокого риска интракраниального тромбоза в зоне бифуркации ствола ЛКА  принято решение в пользу ведения эптифибатида внутривенно болюсно в дозе 180 мкг/кг  (1 флакон, промежуток 10 мин). Оптимизация ячейки и дилатация устья ОА БК Колибри 1,5-15 мм и 2,5-15 мм, давлением 16 атм. На контрольных съемках стент раскрыт удовлетворительно, признаков краевых диссекций, тромбоза, экстравазации контрастного вещества не выявлено, резидуальный стеноз устья ОА до 50% без признаков диссекции и тромбоза. Ангиографический результат удовлетворительный. Пациентка в тяжелом состоянии транспортируется в ПРИТ для дальнейшего наблюдения и лечения.состоянии транспортируется в ПРИТ для дальнейшего наблюдения и лечения.</t>
  </si>
  <si>
    <t>Pilot 150, 190 cm</t>
  </si>
  <si>
    <t>Pilot 150, 300 cm</t>
  </si>
  <si>
    <t>Перефирический БК</t>
  </si>
  <si>
    <t>06:12</t>
  </si>
  <si>
    <t>3100</t>
  </si>
  <si>
    <t>Смирнов В.А.</t>
  </si>
  <si>
    <t>проходим, контуры ровные</t>
  </si>
  <si>
    <t>проходим, контуры ровные. Антеградный кровоток - TIMI III.</t>
  </si>
  <si>
    <r>
      <rPr>
        <b/>
        <i/>
        <sz val="11"/>
        <color theme="1"/>
        <rFont val="Arial Narrow"/>
        <family val="2"/>
        <charset val="204"/>
      </rPr>
      <t>состояние артерии после стентирования проксимального сегмента от 2012 (1 стент).</t>
    </r>
    <r>
      <rPr>
        <sz val="11"/>
        <color theme="1"/>
        <rFont val="Arial Narrow"/>
        <family val="2"/>
        <charset val="204"/>
      </rPr>
      <t xml:space="preserve"> На настоящей каг определяется стеноз проксимального сегмента до 30%, эксцентричный рестеноз in stent до 40%, неровности контуров дистального сегмента.  Антеградный кровоток - TIMI III.</t>
    </r>
  </si>
  <si>
    <t xml:space="preserve">Контроль места пункции, повязка  на руке до 6 ч. </t>
  </si>
  <si>
    <t>тандемные стенозы проксимального сегмента 30%. Антеградный кровоток -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</si>
</sst>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0"/>
      <color theme="1"/>
      <name val="Arial Narrow"/>
      <family val="2"/>
      <charset val="204"/>
    </font>
    <font>
      <b/>
      <i/>
      <sz val="11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  <xf numFmtId="0" fontId="53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D38" sqref="D38:H41"/>
    </sheetView>
  </sheetViews>
  <sheetFormatPr defaultColWidth="0" defaultRowHeight="15" zeroHeight="1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0" t="s">
        <v>213</v>
      </c>
      <c r="B6" s="221"/>
      <c r="C6" s="221"/>
      <c r="D6" s="221"/>
      <c r="E6" s="221"/>
      <c r="F6" s="221"/>
      <c r="G6" s="221"/>
      <c r="H6" s="222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45615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0.72222222222222221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0.74305555555555547</v>
      </c>
      <c r="C10" s="54"/>
      <c r="D10" s="94" t="s">
        <v>173</v>
      </c>
      <c r="E10" s="92"/>
      <c r="F10" s="92"/>
      <c r="G10" s="23" t="s">
        <v>159</v>
      </c>
      <c r="H10" s="25"/>
    </row>
    <row r="11" spans="1:8" ht="17.25" thickTop="1" thickBot="1">
      <c r="A11" s="88" t="s">
        <v>192</v>
      </c>
      <c r="B11" s="201" t="s">
        <v>533</v>
      </c>
      <c r="C11" s="8"/>
      <c r="D11" s="94" t="s">
        <v>170</v>
      </c>
      <c r="E11" s="92"/>
      <c r="F11" s="92"/>
      <c r="G11" s="23" t="s">
        <v>254</v>
      </c>
      <c r="H11" s="25"/>
    </row>
    <row r="12" spans="1:8" ht="16.5" thickTop="1">
      <c r="A12" s="80" t="s">
        <v>8</v>
      </c>
      <c r="B12" s="81">
        <v>26201</v>
      </c>
      <c r="C12" s="11"/>
      <c r="D12" s="94" t="s">
        <v>303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53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32834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3" t="s">
        <v>399</v>
      </c>
      <c r="H15" s="167" t="s">
        <v>531</v>
      </c>
    </row>
    <row r="16" spans="1:8" ht="15.6" customHeight="1">
      <c r="A16" s="14" t="s">
        <v>106</v>
      </c>
      <c r="B16" s="18" t="s">
        <v>312</v>
      </c>
      <c r="C16"/>
      <c r="D16" s="35"/>
      <c r="E16" s="35"/>
      <c r="F16" s="35"/>
      <c r="G16" s="164" t="s">
        <v>402</v>
      </c>
      <c r="H16" s="167" t="s">
        <v>532</v>
      </c>
    </row>
    <row r="17" spans="1:8" ht="14.45" customHeight="1">
      <c r="A17" s="39"/>
      <c r="B17" s="30"/>
      <c r="C17" s="30"/>
      <c r="D17" s="87"/>
      <c r="E17" s="87"/>
      <c r="F17" s="87"/>
      <c r="G17" s="165" t="s">
        <v>388</v>
      </c>
      <c r="H17" s="166">
        <f>H16*0.0019</f>
        <v>5.89</v>
      </c>
    </row>
    <row r="18" spans="1:8" ht="14.45" customHeight="1">
      <c r="A18" s="56" t="s">
        <v>188</v>
      </c>
      <c r="B18" s="86" t="s">
        <v>523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54" t="s">
        <v>534</v>
      </c>
      <c r="C20" s="223"/>
      <c r="D20" s="223"/>
      <c r="E20" s="223"/>
      <c r="F20" s="223"/>
      <c r="G20" s="223"/>
      <c r="H20" s="224"/>
    </row>
    <row r="21" spans="1:8">
      <c r="A21" s="57"/>
      <c r="B21" s="225"/>
      <c r="C21" s="225"/>
      <c r="D21" s="225"/>
      <c r="E21" s="225"/>
      <c r="F21" s="225"/>
      <c r="G21" s="225"/>
      <c r="H21" s="226"/>
    </row>
    <row r="22" spans="1:8" ht="15.6" customHeight="1">
      <c r="A22" s="58" t="s">
        <v>271</v>
      </c>
      <c r="B22" s="227" t="s">
        <v>535</v>
      </c>
      <c r="C22" s="227"/>
      <c r="D22" s="227"/>
      <c r="E22" s="227"/>
      <c r="F22" s="227"/>
      <c r="G22" s="227"/>
      <c r="H22" s="228"/>
    </row>
    <row r="23" spans="1:8" ht="14.45" customHeight="1">
      <c r="A23" s="37"/>
      <c r="B23" s="229"/>
      <c r="C23" s="229"/>
      <c r="D23" s="229"/>
      <c r="E23" s="229"/>
      <c r="F23" s="229"/>
      <c r="G23" s="229"/>
      <c r="H23" s="230"/>
    </row>
    <row r="24" spans="1:8" ht="14.45" customHeight="1">
      <c r="A24" s="59"/>
      <c r="B24" s="229"/>
      <c r="C24" s="229"/>
      <c r="D24" s="229"/>
      <c r="E24" s="229"/>
      <c r="F24" s="229"/>
      <c r="G24" s="229"/>
      <c r="H24" s="230"/>
    </row>
    <row r="25" spans="1:8" ht="14.45" customHeight="1">
      <c r="A25" s="37"/>
      <c r="B25" s="229"/>
      <c r="C25" s="229"/>
      <c r="D25" s="229"/>
      <c r="E25" s="229"/>
      <c r="F25" s="229"/>
      <c r="G25" s="229"/>
      <c r="H25" s="230"/>
    </row>
    <row r="26" spans="1:8" ht="14.45" customHeight="1">
      <c r="A26" s="39"/>
      <c r="B26" s="231"/>
      <c r="C26" s="231"/>
      <c r="D26" s="231"/>
      <c r="E26" s="231"/>
      <c r="F26" s="231"/>
      <c r="G26" s="231"/>
      <c r="H26" s="232"/>
    </row>
    <row r="27" spans="1:8" ht="14.45" customHeight="1">
      <c r="A27" s="58" t="s">
        <v>272</v>
      </c>
      <c r="B27" s="227" t="s">
        <v>538</v>
      </c>
      <c r="C27" s="227"/>
      <c r="D27" s="227"/>
      <c r="E27" s="227"/>
      <c r="F27" s="227"/>
      <c r="G27" s="227"/>
      <c r="H27" s="228"/>
    </row>
    <row r="28" spans="1:8" ht="15.6" customHeight="1">
      <c r="A28" s="37"/>
      <c r="B28" s="229"/>
      <c r="C28" s="229"/>
      <c r="D28" s="229"/>
      <c r="E28" s="229"/>
      <c r="F28" s="229"/>
      <c r="G28" s="229"/>
      <c r="H28" s="230"/>
    </row>
    <row r="29" spans="1:8" ht="14.45" customHeight="1">
      <c r="A29" s="37"/>
      <c r="B29" s="229"/>
      <c r="C29" s="229"/>
      <c r="D29" s="229"/>
      <c r="E29" s="229"/>
      <c r="F29" s="229"/>
      <c r="G29" s="229"/>
      <c r="H29" s="230"/>
    </row>
    <row r="30" spans="1:8" ht="14.45" customHeight="1">
      <c r="A30" s="31"/>
      <c r="B30" s="229"/>
      <c r="C30" s="229"/>
      <c r="D30" s="229"/>
      <c r="E30" s="229"/>
      <c r="F30" s="229"/>
      <c r="G30" s="229"/>
      <c r="H30" s="230"/>
    </row>
    <row r="31" spans="1:8" ht="14.45" customHeight="1">
      <c r="A31" s="32"/>
      <c r="B31" s="231"/>
      <c r="C31" s="231"/>
      <c r="D31" s="231"/>
      <c r="E31" s="231"/>
      <c r="F31" s="231"/>
      <c r="G31" s="231"/>
      <c r="H31" s="232"/>
    </row>
    <row r="32" spans="1:8" ht="14.45" customHeight="1">
      <c r="A32" s="58" t="s">
        <v>273</v>
      </c>
      <c r="B32" s="227" t="s">
        <v>536</v>
      </c>
      <c r="C32" s="227"/>
      <c r="D32" s="227"/>
      <c r="E32" s="227"/>
      <c r="F32" s="227"/>
      <c r="G32" s="227"/>
      <c r="H32" s="228"/>
    </row>
    <row r="33" spans="1:8" ht="14.45" customHeight="1">
      <c r="A33" s="37"/>
      <c r="B33" s="229"/>
      <c r="C33" s="229"/>
      <c r="D33" s="229"/>
      <c r="E33" s="229"/>
      <c r="F33" s="229"/>
      <c r="G33" s="229"/>
      <c r="H33" s="230"/>
    </row>
    <row r="34" spans="1:8" ht="15.6" customHeight="1">
      <c r="A34" s="37"/>
      <c r="B34" s="229"/>
      <c r="C34" s="229"/>
      <c r="D34" s="229"/>
      <c r="E34" s="229"/>
      <c r="F34" s="229"/>
      <c r="G34" s="229"/>
      <c r="H34" s="230"/>
    </row>
    <row r="35" spans="1:8" ht="14.45" customHeight="1">
      <c r="A35" s="37"/>
      <c r="B35" s="229"/>
      <c r="C35" s="229"/>
      <c r="D35" s="229"/>
      <c r="E35" s="229"/>
      <c r="F35" s="229"/>
      <c r="G35" s="229"/>
      <c r="H35" s="230"/>
    </row>
    <row r="36" spans="1:8" ht="15.6" customHeight="1">
      <c r="A36" s="37"/>
      <c r="B36" s="229"/>
      <c r="C36" s="229"/>
      <c r="D36" s="229"/>
      <c r="E36" s="229"/>
      <c r="F36" s="229"/>
      <c r="G36" s="229"/>
      <c r="H36" s="230"/>
    </row>
    <row r="37" spans="1:8" ht="14.45" customHeight="1">
      <c r="A37" s="37"/>
      <c r="B37"/>
      <c r="C37"/>
      <c r="D37" s="216" t="str">
        <f>IF($A$6=Вмешательства!$D$3,Вмешательства!$F$18,"")</f>
        <v/>
      </c>
      <c r="E37" s="216"/>
      <c r="F37" s="118"/>
      <c r="G37" s="118"/>
      <c r="H37" s="122"/>
    </row>
    <row r="38" spans="1:8" ht="14.45" customHeight="1">
      <c r="A38" s="37"/>
      <c r="B38"/>
      <c r="C38" s="123"/>
      <c r="D38" s="217"/>
      <c r="E38" s="218"/>
      <c r="F38" s="218"/>
      <c r="G38" s="218"/>
      <c r="H38" s="219"/>
    </row>
    <row r="39" spans="1:8" ht="14.45" customHeight="1">
      <c r="A39" s="34"/>
      <c r="B39" s="118"/>
      <c r="C39" s="123"/>
      <c r="D39" s="218"/>
      <c r="E39" s="218"/>
      <c r="F39" s="218"/>
      <c r="G39" s="218"/>
      <c r="H39" s="219"/>
    </row>
    <row r="40" spans="1:8" ht="14.45" customHeight="1">
      <c r="A40" s="34"/>
      <c r="B40" s="118"/>
      <c r="C40" s="123"/>
      <c r="D40" s="218"/>
      <c r="E40" s="218"/>
      <c r="F40" s="218"/>
      <c r="G40" s="218"/>
      <c r="H40" s="219"/>
    </row>
    <row r="41" spans="1:8" ht="14.45" customHeight="1">
      <c r="A41" s="34"/>
      <c r="B41" s="118"/>
      <c r="C41" s="123"/>
      <c r="D41" s="218"/>
      <c r="E41" s="218"/>
      <c r="F41" s="218"/>
      <c r="G41" s="218"/>
      <c r="H41" s="219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3" t="s">
        <v>537</v>
      </c>
      <c r="E43" s="214"/>
      <c r="F43" s="214"/>
      <c r="G43" s="214"/>
      <c r="H43" s="215"/>
    </row>
    <row r="44" spans="1:8" ht="14.45" customHeight="1">
      <c r="A44" s="34"/>
      <c r="B44" s="118"/>
      <c r="C44" s="125"/>
      <c r="D44" s="214"/>
      <c r="E44" s="214"/>
      <c r="F44" s="214"/>
      <c r="G44" s="214"/>
      <c r="H44" s="215"/>
    </row>
    <row r="45" spans="1:8" ht="14.45" customHeight="1">
      <c r="A45" s="34"/>
      <c r="B45" s="118"/>
      <c r="C45" s="125"/>
      <c r="D45" s="214"/>
      <c r="E45" s="214"/>
      <c r="F45" s="214"/>
      <c r="G45" s="214"/>
      <c r="H45" s="215"/>
    </row>
    <row r="46" spans="1:8">
      <c r="A46" s="34"/>
      <c r="B46" s="118"/>
      <c r="C46" s="125"/>
      <c r="D46" s="214"/>
      <c r="E46" s="214"/>
      <c r="F46" s="214"/>
      <c r="G46" s="214"/>
      <c r="H46" s="215"/>
    </row>
    <row r="47" spans="1:8">
      <c r="A47" s="37"/>
      <c r="B47"/>
      <c r="C47" s="125"/>
      <c r="D47" s="214"/>
      <c r="E47" s="214"/>
      <c r="F47" s="214"/>
      <c r="G47" s="214"/>
      <c r="H47" s="215"/>
    </row>
    <row r="48" spans="1:8">
      <c r="A48" s="37"/>
      <c r="B48"/>
      <c r="C48" s="125"/>
      <c r="D48" s="214"/>
      <c r="E48" s="214"/>
      <c r="F48" s="214"/>
      <c r="G48" s="214"/>
      <c r="H48" s="215"/>
    </row>
    <row r="49" spans="1:13">
      <c r="A49" s="37"/>
      <c r="B49" s="203"/>
      <c r="C49" s="204"/>
      <c r="D49" s="214"/>
      <c r="E49" s="214"/>
      <c r="F49" s="214"/>
      <c r="G49" s="214"/>
      <c r="H49" s="215"/>
    </row>
    <row r="50" spans="1:13">
      <c r="A50" s="37"/>
      <c r="B50"/>
      <c r="C50"/>
      <c r="D50" s="214"/>
      <c r="E50" s="214"/>
      <c r="F50" s="214"/>
      <c r="G50" s="214"/>
      <c r="H50" s="215"/>
      <c r="M50" t="s">
        <v>211</v>
      </c>
    </row>
    <row r="51" spans="1:13">
      <c r="A51" s="61" t="s">
        <v>204</v>
      </c>
      <c r="B51" s="62" t="s">
        <v>522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D40" sqref="D40:H49"/>
    </sheetView>
  </sheetViews>
  <sheetFormatPr defaultColWidth="0" defaultRowHeight="15" zeroHeight="1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3"/>
      <c r="B6" s="244"/>
      <c r="C6" s="244"/>
      <c r="D6" s="244"/>
      <c r="E6" s="244"/>
      <c r="F6" s="244"/>
      <c r="G6" s="244"/>
      <c r="H6" s="245"/>
    </row>
    <row r="7" spans="1:8" ht="21.6" customHeight="1">
      <c r="A7" s="243"/>
      <c r="B7" s="244"/>
      <c r="C7" s="244"/>
      <c r="D7" s="244"/>
      <c r="E7" s="244"/>
      <c r="F7" s="244"/>
      <c r="G7" s="244"/>
      <c r="H7" s="245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/>
      <c r="C8" s="242"/>
      <c r="D8" s="242"/>
      <c r="E8" s="242"/>
      <c r="F8" s="188"/>
      <c r="G8" s="117"/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2"/>
      <c r="D9" s="242"/>
      <c r="E9" s="242"/>
      <c r="F9" s="188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7"/>
      <c r="C10" s="246"/>
      <c r="D10" s="246"/>
      <c r="E10" s="246"/>
      <c r="F10" s="191"/>
      <c r="G10" s="117"/>
      <c r="H10" s="38"/>
    </row>
    <row r="11" spans="1:8">
      <c r="A11" s="190"/>
      <c r="B11" s="194"/>
      <c r="C11" s="197">
        <f>SUM(F8:F10)</f>
        <v>0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45615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0.99305555555555547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4.8611111111111112E-2</v>
      </c>
      <c r="C14" s="11"/>
      <c r="D14" s="94" t="s">
        <v>173</v>
      </c>
      <c r="E14" s="92"/>
      <c r="F14" s="92"/>
      <c r="G14" s="79" t="str">
        <f>КАГ!G10</f>
        <v>Нефёдова А.А.</v>
      </c>
      <c r="H14" s="90" t="str">
        <f>IF(ISBLANK(КАГ!H10),"",КАГ!H10)</f>
        <v/>
      </c>
    </row>
    <row r="15" spans="1:8" ht="16.5" thickBot="1">
      <c r="A15" s="162" t="s">
        <v>387</v>
      </c>
      <c r="B15" s="186">
        <f>IF(B14&lt;B13,B14+1,B14)-B13</f>
        <v>5.5555555555555691E-2</v>
      </c>
      <c r="C15"/>
      <c r="D15" s="94" t="s">
        <v>170</v>
      </c>
      <c r="E15" s="92"/>
      <c r="F15" s="92"/>
      <c r="G15" s="79" t="str">
        <f>КАГ!G11</f>
        <v>Молотков А.В.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9" t="str">
        <f>КАГ!B11</f>
        <v>Смирнов В.А.</v>
      </c>
      <c r="C16" s="198">
        <f>LEN(КАГ!B11)</f>
        <v>12</v>
      </c>
      <c r="D16" s="94" t="s">
        <v>303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26201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53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32834</v>
      </c>
      <c r="C19" s="68"/>
      <c r="D19" s="68"/>
      <c r="E19" s="68"/>
      <c r="F19" s="68"/>
      <c r="G19" s="163" t="s">
        <v>399</v>
      </c>
      <c r="H19" s="178" t="str">
        <f>КАГ!H15</f>
        <v>06:12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4" t="s">
        <v>402</v>
      </c>
      <c r="H20" s="179" t="str">
        <f>КАГ!H16</f>
        <v>3100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5" t="s">
        <v>388</v>
      </c>
      <c r="H21" s="166">
        <f>КАГ!H17</f>
        <v>5.89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2" t="str">
        <f>IF(B21=Вмешательства!F3,Вмешательства!F19,"")</f>
        <v/>
      </c>
      <c r="H22" s="183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391</v>
      </c>
      <c r="B23" s="170" t="s">
        <v>390</v>
      </c>
      <c r="C23" s="161"/>
      <c r="D23" s="161"/>
      <c r="E23" s="161"/>
      <c r="F23" s="161"/>
      <c r="G23"/>
      <c r="H23" s="38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50" t="s">
        <v>527</v>
      </c>
      <c r="B25" s="251"/>
      <c r="C25" s="251"/>
      <c r="D25" s="251"/>
      <c r="E25" s="251"/>
      <c r="F25" s="251"/>
      <c r="G25" s="251"/>
      <c r="H25" s="252"/>
    </row>
    <row r="26" spans="1:8" ht="14.45" customHeight="1">
      <c r="A26" s="253"/>
      <c r="B26" s="251"/>
      <c r="C26" s="251"/>
      <c r="D26" s="251"/>
      <c r="E26" s="251"/>
      <c r="F26" s="251"/>
      <c r="G26" s="251"/>
      <c r="H26" s="252"/>
    </row>
    <row r="27" spans="1:8" ht="14.45" customHeight="1">
      <c r="A27" s="253"/>
      <c r="B27" s="251"/>
      <c r="C27" s="251"/>
      <c r="D27" s="251"/>
      <c r="E27" s="251"/>
      <c r="F27" s="251"/>
      <c r="G27" s="251"/>
      <c r="H27" s="252"/>
    </row>
    <row r="28" spans="1:8" ht="14.45" customHeight="1">
      <c r="A28" s="253"/>
      <c r="B28" s="251"/>
      <c r="C28" s="251"/>
      <c r="D28" s="251"/>
      <c r="E28" s="251"/>
      <c r="F28" s="251"/>
      <c r="G28" s="251"/>
      <c r="H28" s="252"/>
    </row>
    <row r="29" spans="1:8" ht="14.45" customHeight="1">
      <c r="A29" s="253"/>
      <c r="B29" s="251"/>
      <c r="C29" s="251"/>
      <c r="D29" s="251"/>
      <c r="E29" s="251"/>
      <c r="F29" s="251"/>
      <c r="G29" s="251"/>
      <c r="H29" s="252"/>
    </row>
    <row r="30" spans="1:8" ht="14.45" customHeight="1">
      <c r="A30" s="253"/>
      <c r="B30" s="251"/>
      <c r="C30" s="251"/>
      <c r="D30" s="251"/>
      <c r="E30" s="251"/>
      <c r="F30" s="251"/>
      <c r="G30" s="251"/>
      <c r="H30" s="252"/>
    </row>
    <row r="31" spans="1:8" ht="14.45" customHeight="1">
      <c r="A31" s="253"/>
      <c r="B31" s="251"/>
      <c r="C31" s="251"/>
      <c r="D31" s="251"/>
      <c r="E31" s="251"/>
      <c r="F31" s="251"/>
      <c r="G31" s="251"/>
      <c r="H31" s="252"/>
    </row>
    <row r="32" spans="1:8" ht="14.45" customHeight="1">
      <c r="A32" s="253"/>
      <c r="B32" s="251"/>
      <c r="C32" s="251"/>
      <c r="D32" s="251"/>
      <c r="E32" s="251"/>
      <c r="F32" s="251"/>
      <c r="G32" s="251"/>
      <c r="H32" s="252"/>
    </row>
    <row r="33" spans="1:12" ht="14.45" customHeight="1">
      <c r="A33" s="253"/>
      <c r="B33" s="251"/>
      <c r="C33" s="251"/>
      <c r="D33" s="251"/>
      <c r="E33" s="251"/>
      <c r="F33" s="251"/>
      <c r="G33" s="251"/>
      <c r="H33" s="252"/>
    </row>
    <row r="34" spans="1:12" ht="14.45" customHeight="1">
      <c r="A34" s="253"/>
      <c r="B34" s="251"/>
      <c r="C34" s="251"/>
      <c r="D34" s="251"/>
      <c r="E34" s="251"/>
      <c r="F34" s="251"/>
      <c r="G34" s="251"/>
      <c r="H34" s="252"/>
    </row>
    <row r="35" spans="1:12" ht="14.45" customHeight="1">
      <c r="A35" s="253"/>
      <c r="B35" s="251"/>
      <c r="C35" s="251"/>
      <c r="D35" s="251"/>
      <c r="E35" s="251"/>
      <c r="F35" s="251"/>
      <c r="G35" s="251"/>
      <c r="H35" s="252"/>
    </row>
    <row r="36" spans="1:12" ht="14.45" customHeight="1">
      <c r="A36" s="253"/>
      <c r="B36" s="251"/>
      <c r="C36" s="251"/>
      <c r="D36" s="251"/>
      <c r="E36" s="251"/>
      <c r="F36" s="251"/>
      <c r="G36" s="251"/>
      <c r="H36" s="252"/>
    </row>
    <row r="37" spans="1:12" ht="14.45" customHeight="1">
      <c r="A37" s="253"/>
      <c r="B37" s="251"/>
      <c r="C37" s="251"/>
      <c r="D37" s="251"/>
      <c r="E37" s="251"/>
      <c r="F37" s="251"/>
      <c r="G37" s="251"/>
      <c r="H37" s="252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  <c r="H38"/>
    </row>
    <row r="39" spans="1:12" ht="15.75">
      <c r="A39" s="171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2" t="s">
        <v>393</v>
      </c>
      <c r="B40" s="176" t="s">
        <v>526</v>
      </c>
      <c r="C40" s="119"/>
      <c r="D40" s="247" t="s">
        <v>400</v>
      </c>
      <c r="E40" s="248"/>
      <c r="F40" s="248"/>
      <c r="G40" s="248"/>
      <c r="H40" s="249"/>
    </row>
    <row r="41" spans="1:12" ht="14.45" customHeight="1">
      <c r="A41" s="31"/>
      <c r="B41" s="27"/>
      <c r="C41" s="119"/>
      <c r="D41" s="248"/>
      <c r="E41" s="248"/>
      <c r="F41" s="248"/>
      <c r="G41" s="248"/>
      <c r="H41" s="249"/>
    </row>
    <row r="42" spans="1:12" ht="14.45" customHeight="1">
      <c r="A42" s="31"/>
      <c r="B42" s="27"/>
      <c r="C42" s="119"/>
      <c r="D42" s="248"/>
      <c r="E42" s="248"/>
      <c r="F42" s="248"/>
      <c r="G42" s="248"/>
      <c r="H42" s="249"/>
    </row>
    <row r="43" spans="1:12" ht="14.45" customHeight="1">
      <c r="A43" s="31"/>
      <c r="B43" s="27"/>
      <c r="C43" s="119"/>
      <c r="D43" s="248"/>
      <c r="E43" s="248"/>
      <c r="F43" s="248"/>
      <c r="G43" s="248"/>
      <c r="H43" s="249"/>
    </row>
    <row r="44" spans="1:12" ht="14.45" customHeight="1">
      <c r="A44" s="31"/>
      <c r="B44" s="27"/>
      <c r="C44" s="119"/>
      <c r="D44" s="248"/>
      <c r="E44" s="248"/>
      <c r="F44" s="248"/>
      <c r="G44" s="248"/>
      <c r="H44" s="249"/>
      <c r="L44" s="159"/>
    </row>
    <row r="45" spans="1:12" ht="14.45" customHeight="1">
      <c r="A45" s="31"/>
      <c r="B45" s="27"/>
      <c r="C45" s="119"/>
      <c r="D45" s="248"/>
      <c r="E45" s="248"/>
      <c r="F45" s="248"/>
      <c r="G45" s="248"/>
      <c r="H45" s="249"/>
    </row>
    <row r="46" spans="1:12" ht="14.45" customHeight="1">
      <c r="A46" s="31"/>
      <c r="B46" s="27"/>
      <c r="C46" s="119"/>
      <c r="D46" s="248"/>
      <c r="E46" s="248"/>
      <c r="F46" s="248"/>
      <c r="G46" s="248"/>
      <c r="H46" s="249"/>
    </row>
    <row r="47" spans="1:12" ht="14.45" customHeight="1">
      <c r="A47" s="37"/>
      <c r="B47"/>
      <c r="C47" s="119"/>
      <c r="D47" s="248"/>
      <c r="E47" s="248"/>
      <c r="F47" s="248"/>
      <c r="G47" s="248"/>
      <c r="H47" s="249"/>
    </row>
    <row r="48" spans="1:12" ht="14.45" customHeight="1">
      <c r="A48" s="37"/>
      <c r="B48"/>
      <c r="C48" s="119"/>
      <c r="D48" s="248"/>
      <c r="E48" s="248"/>
      <c r="F48" s="248"/>
      <c r="G48" s="248"/>
      <c r="H48" s="249"/>
    </row>
    <row r="49" spans="1:8" ht="14.45" customHeight="1">
      <c r="A49" s="37"/>
      <c r="B49"/>
      <c r="C49" s="119"/>
      <c r="D49" s="248"/>
      <c r="E49" s="248"/>
      <c r="F49" s="248"/>
      <c r="G49" s="248"/>
      <c r="H49" s="249"/>
    </row>
    <row r="50" spans="1:8">
      <c r="A50" s="61" t="s">
        <v>199</v>
      </c>
      <c r="B50" s="62" t="s">
        <v>522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3" t="s">
        <v>371</v>
      </c>
      <c r="B52" s="234"/>
      <c r="C52" s="234"/>
      <c r="D52" s="234"/>
      <c r="E52" s="234"/>
      <c r="F52" s="235"/>
      <c r="G52"/>
      <c r="H52" s="38"/>
    </row>
    <row r="53" spans="1:8" ht="15" customHeight="1">
      <c r="A53" s="236"/>
      <c r="B53" s="237"/>
      <c r="C53" s="237"/>
      <c r="D53" s="237"/>
      <c r="E53" s="237"/>
      <c r="F53" s="238"/>
      <c r="G53" s="73" t="str">
        <f>IF(ISBLANK(H13),"",H13)</f>
        <v/>
      </c>
      <c r="H53" s="63"/>
    </row>
    <row r="54" spans="1:8">
      <c r="A54" s="239"/>
      <c r="B54" s="240"/>
      <c r="C54" s="240"/>
      <c r="D54" s="240"/>
      <c r="E54" s="240"/>
      <c r="F54" s="241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7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проходим, контуры ровные
Бассейн ПНА:   проходим, контуры ровные. Антеградный кровоток - TIMI III.
Бассейн  ОА:   тандемные стенозы проксимального сегмента 30%. Антеградный кровоток - TIMI III.
Бассейн ПКА:   состояние артерии после стентирования проксимального сегмента от 2012 (1 стент). На настоящей каг определяется стеноз проксимального сегмента до 30%, эксцентричный рестеноз in stent до 40%, неровности контуров дистального сегмента.  Антеградный кровоток - TIMI III.</v>
      </c>
    </row>
    <row r="4" spans="1:1">
      <c r="A4" s="207"/>
    </row>
    <row r="5" spans="1:1">
      <c r="A5" s="207"/>
    </row>
    <row r="6" spans="1:1">
      <c r="A6" s="207"/>
    </row>
    <row r="7" spans="1:1">
      <c r="A7" s="207"/>
    </row>
    <row r="8" spans="1:1">
      <c r="A8" s="207"/>
    </row>
    <row r="9" spans="1:1">
      <c r="A9" s="207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E7" sqref="E7"/>
    </sheetView>
  </sheetViews>
  <sheetFormatPr defaultColWidth="0" defaultRowHeight="15" zeroHeight="1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45615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2" t="str">
        <f>КАГ!$B$11</f>
        <v>Смирнов В.А.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26201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3">
        <f>ЧКВ!A6</f>
        <v>0</v>
      </c>
      <c r="C6" s="130" t="s">
        <v>10</v>
      </c>
      <c r="D6" s="102">
        <f>DATEDIF(D5,D10,"y")</f>
        <v>53</v>
      </c>
    </row>
    <row r="7" spans="1:4">
      <c r="A7" s="37"/>
      <c r="B7"/>
      <c r="C7" s="100" t="s">
        <v>12</v>
      </c>
      <c r="D7" s="102">
        <f>КАГ!$B$14</f>
        <v>32834</v>
      </c>
    </row>
    <row r="8" spans="1:4">
      <c r="A8" s="192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2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3"/>
      <c r="B10" s="30"/>
      <c r="C10" s="149" t="s">
        <v>13</v>
      </c>
      <c r="D10" s="150">
        <f>КАГ!$B$8</f>
        <v>45615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5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3" t="s">
        <v>315</v>
      </c>
      <c r="C14" s="134"/>
      <c r="D14" s="139">
        <v>2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53" t="s">
        <v>324</v>
      </c>
      <c r="C15" s="134" t="s">
        <v>420</v>
      </c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375</v>
      </c>
      <c r="C16" s="134" t="s">
        <v>411</v>
      </c>
      <c r="D16" s="139">
        <v>2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375</v>
      </c>
      <c r="C17" s="134" t="s">
        <v>404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3" t="s">
        <v>516</v>
      </c>
      <c r="C18" s="134" t="s">
        <v>424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9" s="153" t="s">
        <v>326</v>
      </c>
      <c r="C19" s="180"/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377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518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2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O14" sqref="AO1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Fielder</v>
      </c>
      <c r="T2" s="114" t="str">
        <f>IFERROR(INDEX(Расходка[Наименование расходного материала],MATCH(Расходка[[#This Row],[№]],Поиск_расходки[Индекс3],0)),"")</f>
        <v>DES, Resolute Integtity</v>
      </c>
      <c r="U2" s="114" t="str">
        <f>IFERROR(INDEX(Расходка[Наименование расходного материала],MATCH(Расходка[[#This Row],[№]],Поиск_расходки[Индекс4],0)),"")</f>
        <v>Колибри</v>
      </c>
      <c r="V2" s="114" t="str">
        <f>IFERROR(INDEX(Расходка[Наименование расходного материала],MATCH(Расходка[[#This Row],[№]],Поиск_расходки[Индекс5],0)),"")</f>
        <v>Колибри</v>
      </c>
      <c r="W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2" s="114" t="str">
        <f>IFERROR(INDEX(Расходка[Наименование расходного материала],MATCH(Расходка[[#This Row],[№]],Поиск_расходки[Индекс7],0)),"")</f>
        <v>Launcher 6F EBU 3.5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497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>Fielder XT-A</v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4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490</v>
      </c>
      <c r="AO3" t="s">
        <v>498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>Fielder XT-R</v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503</v>
      </c>
      <c r="AO4" t="s">
        <v>500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7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1</v>
      </c>
      <c r="I10" s="115">
        <f>IF(ISNUMBER(SEARCH('Карта учёта'!$B$17,Расходка[[#This Row],[Наименование расходного материала]])),MAX($I$1:I9)+1,0)</f>
        <v>1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7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2</v>
      </c>
      <c r="I11" s="115">
        <f>IF(ISNUMBER(SEARCH('Карта учёта'!$B$17,Расходка[[#This Row],[Наименование расходного материала]])),MAX($I$1:I10)+1,0)</f>
        <v>2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7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7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M13" s="187">
        <v>254570</v>
      </c>
      <c r="AN13" s="2"/>
      <c r="AO13" t="s">
        <v>530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7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1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2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3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524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525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521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>Shunmei</v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528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529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>BMS, Integtity</v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6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>DES, Calipso</v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>DES, NanoMed</v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1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s="160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>DES, Firehawk</v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520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3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4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>Telescope ™ II 6F</v>
      </c>
      <c r="Z65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>Launcher 6F AL 1</v>
      </c>
      <c r="Z66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352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0</v>
      </c>
      <c r="K67" s="195">
        <f>IF(ISNUMBER(SEARCH('Карта учёта'!$B$19,Расходка[[#This Row],[Наименование расходного материала]])),MAX($K$1:K66)+1,0)</f>
        <v>0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/>
      </c>
      <c r="Y67" s="196" t="str">
        <f>IFERROR(INDEX(Расходка[Наименование расходного материала],MATCH(Расходка[[#This Row],[№]],Поиск_расходки[Индекс8],0)),"")</f>
        <v>Launcher 6F AL 2</v>
      </c>
      <c r="Z67" s="196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0</v>
      </c>
      <c r="K68" s="195">
        <f>IF(ISNUMBER(SEARCH('Карта учёта'!$B$19,Расходка[[#This Row],[Наименование расходного материала]])),MAX($K$1:K67)+1,0)</f>
        <v>1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/>
      </c>
      <c r="Y68" s="196" t="str">
        <f>IFERROR(INDEX(Расходка[Наименование расходного материала],MATCH(Расходка[[#This Row],[№]],Поиск_расходки[Индекс8],0)),"")</f>
        <v>Launcher 6F EBU 3.5</v>
      </c>
      <c r="Z68" s="196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0</v>
      </c>
      <c r="K69" s="195">
        <f>IF(ISNUMBER(SEARCH('Карта учёта'!$B$19,Расходка[[#This Row],[Наименование расходного материала]])),MAX($K$1:K68)+1,0)</f>
        <v>0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/>
      </c>
      <c r="Y69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69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0</v>
      </c>
      <c r="K70" s="195">
        <f>IF(ISNUMBER(SEARCH('Карта учёта'!$B$19,Расходка[[#This Row],[Наименование расходного материала]])),MAX($K$1:K69)+1,0)</f>
        <v>0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/>
      </c>
      <c r="Y70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70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0</v>
      </c>
      <c r="K71" s="195">
        <f>IF(ISNUMBER(SEARCH('Карта учёта'!$B$19,Расходка[[#This Row],[Наименование расходного материала]])),MAX($K$1:K70)+1,0)</f>
        <v>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/>
      </c>
      <c r="Y71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71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0</v>
      </c>
      <c r="K72" s="195">
        <f>IF(ISNUMBER(SEARCH('Карта учёта'!$B$19,Расходка[[#This Row],[Наименование расходного материала]])),MAX($K$1:K71)+1,0)</f>
        <v>0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/>
      </c>
      <c r="Y72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2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0</v>
      </c>
      <c r="K73" s="195">
        <f>IF(ISNUMBER(SEARCH('Карта учёта'!$B$19,Расходка[[#This Row],[Наименование расходного материала]])),MAX($K$1:K72)+1,0)</f>
        <v>0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/>
      </c>
      <c r="Y73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3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0</v>
      </c>
      <c r="K74" s="195">
        <f>IF(ISNUMBER(SEARCH('Карта учёта'!$B$19,Расходка[[#This Row],[Наименование расходного материала]])),MAX($K$1:K73)+1,0)</f>
        <v>0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/>
      </c>
      <c r="Y74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4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0</v>
      </c>
      <c r="K75" s="195">
        <f>IF(ISNUMBER(SEARCH('Карта учёта'!$B$19,Расходка[[#This Row],[Наименование расходного материала]])),MAX($K$1:K74)+1,0)</f>
        <v>0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/>
      </c>
      <c r="Y75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5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0</v>
      </c>
      <c r="L76" s="195">
        <f>IF(ISNUMBER(SEARCH('Карта учёта'!$B$20,Расходка[[#This Row],[Наименование расходного материала]])),MAX($L$1:L75)+1,0)</f>
        <v>75</v>
      </c>
      <c r="M76" s="195">
        <f>IF(ISNUMBER(SEARCH('Карта учёта'!$B$21,Расходка[[#This Row],[Наименование расходного материала]])),MAX($M$1:M75)+1,0)</f>
        <v>75</v>
      </c>
      <c r="N76" s="195">
        <f>IF(ISNUMBER(SEARCH('Карта учёта'!$B$22,Расходка[[#This Row],[Наименование расходного материала]])),MAX($N$1:N75)+1,0)</f>
        <v>75</v>
      </c>
      <c r="O76" s="195">
        <f>IF(ISNUMBER(SEARCH('Карта учёта'!$B$23,Расходка[[#This Row],[Наименование расходного материала]])),MAX($O$1:O75)+1,0)</f>
        <v>75</v>
      </c>
      <c r="P76" s="195">
        <f>IF(ISNUMBER(SEARCH('Карта учёта'!$B$24,Расходка[[#This Row],[Наименование расходного материала]])),MAX($P$1:P75)+1,0)</f>
        <v>75</v>
      </c>
      <c r="Q76" s="195">
        <f>IF(ISNUMBER(SEARCH('Карта учёта'!$B$25,Расходка[[#This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76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0</v>
      </c>
      <c r="L77" s="195">
        <f>IF(ISNUMBER(SEARCH('Карта учёта'!$B$20,Расходка[[#This Row],[Наименование расходного материала]])),MAX($L$1:L76)+1,0)</f>
        <v>76</v>
      </c>
      <c r="M77" s="195">
        <f>IF(ISNUMBER(SEARCH('Карта учёта'!$B$21,Расходка[[#This Row],[Наименование расходного материала]])),MAX($M$1:M76)+1,0)</f>
        <v>76</v>
      </c>
      <c r="N77" s="195">
        <f>IF(ISNUMBER(SEARCH('Карта учёта'!$B$22,Расходка[[#This Row],[Наименование расходного материала]])),MAX($N$1:N76)+1,0)</f>
        <v>76</v>
      </c>
      <c r="O77" s="195">
        <f>IF(ISNUMBER(SEARCH('Карта учёта'!$B$23,Расходка[[#This Row],[Наименование расходного материала]])),MAX($O$1:O76)+1,0)</f>
        <v>76</v>
      </c>
      <c r="P77" s="195">
        <f>IF(ISNUMBER(SEARCH('Карта учёта'!$B$24,Расходка[[#This Row],[Наименование расходного материала]])),MAX($P$1:P76)+1,0)</f>
        <v>76</v>
      </c>
      <c r="Q77" s="195">
        <f>IF(ISNUMBER(SEARCH('Карта учёта'!$B$25,Расходка[[#This Row],[Наименование расходного материала]])),MAX($Q$1:Q76)+1,0)</f>
        <v>76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>Angio-Seal™ VIP</v>
      </c>
      <c r="Z77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469</v>
      </c>
    </row>
    <row r="78" spans="1:33"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0</v>
      </c>
      <c r="L78" s="195">
        <f>IF(ISNUMBER(SEARCH('Карта учёта'!$B$20,Расходка[[#This Row],[Наименование расходного материала]])),MAX($L$1:L77)+1,0)</f>
        <v>0</v>
      </c>
      <c r="M78" s="195">
        <f>IF(ISNUMBER(SEARCH('Карта учёта'!$B$21,Расходка[[#This Row],[Наименование расходного материала]])),MAX($M$1:M77)+1,0)</f>
        <v>0</v>
      </c>
      <c r="N78" s="195">
        <f>IF(ISNUMBER(SEARCH('Карта учёта'!$B$22,Расходка[[#This Row],[Наименование расходного материала]])),MAX($N$1:N77)+1,0)</f>
        <v>0</v>
      </c>
      <c r="O78" s="195">
        <f>IF(ISNUMBER(SEARCH('Карта учёта'!$B$23,Расходка[[#This Row],[Наименование расходного материала]])),MAX($O$1:O77)+1,0)</f>
        <v>0</v>
      </c>
      <c r="P78" s="195">
        <f>IF(ISNUMBER(SEARCH('Карта учёта'!$B$24,Расходка[[#This Row],[Наименование расходного материала]])),MAX($P$1:P77)+1,0)</f>
        <v>0</v>
      </c>
      <c r="Q78" s="195">
        <f>IF(ISNUMBER(SEARCH('Карта учёта'!$B$25,Расходка[[#This Row],[Наименование расходного материала]])),MAX($Q$1:Q77)+1,0)</f>
        <v>0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/>
      </c>
      <c r="AB78" s="196" t="str">
        <f>IFERROR(INDEX(Расходка[Наименование расходного материала],MATCH(Расходка[[#This Row],[№]],Поиск_расходки[Индекс11],0)),"")</f>
        <v/>
      </c>
      <c r="AC78" s="196" t="str">
        <f>IFERROR(INDEX(Расходка[Наименование расходного материала],MATCH(Расходка[[#This Row],[№]],Поиск_расходки[Индекс12],0)),"")</f>
        <v/>
      </c>
      <c r="AD78" s="196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2024-11-19T14:59:06Z</cp:lastPrinted>
  <dcterms:created xsi:type="dcterms:W3CDTF">2015-06-05T18:19:34Z</dcterms:created>
  <dcterms:modified xsi:type="dcterms:W3CDTF">2024-11-19T14:59:12Z</dcterms:modified>
</cp:coreProperties>
</file>