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1" i="1"/>
  <c r="U32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77" i="1" l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3" i="1" l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9" i="1"/>
  <c r="V68" i="1"/>
  <c r="V46" i="1"/>
  <c r="V72" i="1"/>
  <c r="V53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49" i="1"/>
  <c r="X35" i="1"/>
  <c r="X22" i="1"/>
  <c r="X28" i="1"/>
  <c r="X63" i="1"/>
  <c r="X27" i="1"/>
  <c r="X58" i="1"/>
  <c r="X31" i="1"/>
  <c r="X21" i="1"/>
  <c r="X25" i="1"/>
  <c r="X19" i="1"/>
  <c r="X18" i="1"/>
  <c r="AC68" i="1"/>
  <c r="G74" i="1"/>
  <c r="G75" i="1" s="1"/>
  <c r="P74" i="1"/>
  <c r="N72" i="1"/>
  <c r="L67" i="1"/>
  <c r="M61" i="1"/>
  <c r="X36" i="1" l="1"/>
  <c r="X75" i="1"/>
  <c r="X46" i="1"/>
  <c r="X15" i="1"/>
  <c r="X17" i="1"/>
  <c r="N73" i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AC77" i="1" l="1"/>
  <c r="P78" i="1"/>
  <c r="AC78" i="1" s="1"/>
  <c r="N77" i="1"/>
  <c r="AC75" i="1"/>
  <c r="AC76" i="1"/>
  <c r="L71" i="1"/>
  <c r="L72" i="1" s="1"/>
  <c r="L73" i="1" s="1"/>
  <c r="M68" i="1"/>
  <c r="N78" i="1" l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<sst xmlns="http://schemas.openxmlformats.org/spreadsheetml/2006/main" count="896" uniqueCount="542">
  <si>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</si>
  <si>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</si>
  <si>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</si>
  <si>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</si>
  <si>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</si>
  <si>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</si>
  <si>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</si>
  <si>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</si>
  <si>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</si>
  <si>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</si>
  <si>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</si>
  <si>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</si>
  <si>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</si>
  <si>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</si>
  <si>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</si>
  <si>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</si>
  <si>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</si>
  <si>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</si>
  <si>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</si>
  <si>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</si>
  <si>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</si>
  <si>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</si>
  <si>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</si>
  <si>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</si>
  <si>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</si>
  <si>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</si>
  <si>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</si>
  <si>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</si>
  <si>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</si>
  <si>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</si>
  <si>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</si>
  <si>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</si>
  <si>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</si>
  <si>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</si>
  <si>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</si>
  <si>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</si>
  <si>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</si>
  <si>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</si>
  <si>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</si>
  <si>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</si>
  <si>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</si>
  <si>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</si>
  <si>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</si>
  <si>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</si>
  <si>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</si>
  <si>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</si>
  <si>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</si>
  <si>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</si>
  <si>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</si>
  <si>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</si>
  <si>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</si>
  <si>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</si>
  <si>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</si>
  <si>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</si>
  <si>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</si>
  <si>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</si>
  <si>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</si>
  <si>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</si>
  <si>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</si>
  <si>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</si>
  <si>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</si>
  <si>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</si>
  <si>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</si>
  <si>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</si>
  <si>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</si>
  <si>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</si>
  <si>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</si>
  <si>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</si>
  <si>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</si>
  <si>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</si>
  <si>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</si>
  <si>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</si>
  <si>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</si>
  <si>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</si>
  <si>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</si>
  <si>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</si>
  <si>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</si>
  <si>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</si>
  <si>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</si>
  <si>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</si>
  <si>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</si>
  <si>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</si>
  <si>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</si>
  <si>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</si>
  <si>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</si>
  <si>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</si>
  <si>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</si>
  <si>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</si>
  <si>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</si>
  <si>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</si>
  <si>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</si>
  <si>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</si>
  <si>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</si>
  <si>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</si>
  <si>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</si>
  <si>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</si>
  <si>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</si>
  <si>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</si>
  <si>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</si>
  <si>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</si>
  <si>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</si>
  <si>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</si>
  <si>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</si>
  <si>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</si>
  <si>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</si>
  <si>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</si>
  <si>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</si>
  <si>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</si>
  <si>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</si>
  <si>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</si>
  <si>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</si>
  <si>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</si>
  <si>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</si>
  <si>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</si>
  <si>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</si>
  <si>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</si>
  <si>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</si>
  <si>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</si>
  <si>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</si>
  <si>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</si>
  <si>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</si>
  <si>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</si>
  <si>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</si>
  <si>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</si>
  <si>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</si>
  <si>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</si>
  <si>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</si>
  <si>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</si>
  <si>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</si>
  <si>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</si>
  <si>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</si>
  <si>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</si>
  <si>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</si>
  <si>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</si>
  <si>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</si>
  <si>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</si>
  <si>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</si>
  <si>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</si>
  <si>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</si>
  <si>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</si>
  <si>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</si>
  <si>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</si>
  <si>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</si>
  <si>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</si>
  <si>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</si>
  <si>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</si>
  <si>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</si>
  <si>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</si>
  <si>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</si>
  <si>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</si>
  <si>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</si>
  <si>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</si>
  <si>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</si>
  <si>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</si>
  <si>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</si>
  <si>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</si>
  <si>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</si>
  <si>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</si>
  <si>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</si>
  <si>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</si>
  <si>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</si>
  <si>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</si>
  <si>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</si>
  <si>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</si>
  <si>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</si>
  <si>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</si>
  <si>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</si>
  <si>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</si>
  <si>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</si>
  <si>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</si>
  <si>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</si>
  <si>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</si>
  <si>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</si>
  <si>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</si>
  <si>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</si>
  <si>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</si>
  <si>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</si>
  <si>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</si>
  <si>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</si>
  <si>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</si>
  <si>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</si>
  <si>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</si>
  <si>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</si>
  <si>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</si>
  <si>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</si>
  <si>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</si>
  <si>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</si>
  <si>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</si>
  <si>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</si>
  <si>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</si>
  <si>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</si>
  <si>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</si>
  <si>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</si>
  <si>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</si>
  <si>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</si>
  <si>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</si>
  <si>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</si>
  <si>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</si>
  <si>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</si>
  <si>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</si>
  <si>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</si>
  <si>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</si>
  <si>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</si>
  <si>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</si>
  <si>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</si>
  <si>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</si>
  <si>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</si>
  <si>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</si>
  <si>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</si>
  <si>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</si>
  <si>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</si>
  <si>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</si>
  <si>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</si>
  <si>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</si>
  <si>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</si>
  <si>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</si>
  <si>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</si>
  <si>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</si>
  <si>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</si>
  <si>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</si>
  <si>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</si>
  <si>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</si>
  <si>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</si>
  <si>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</si>
  <si>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</si>
  <si>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</si>
  <si>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</si>
  <si>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</si>
  <si>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</si>
  <si>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</si>
  <si>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</si>
  <si>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</si>
  <si>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</si>
  <si>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</si>
  <si>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</si>
  <si>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</si>
  <si>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</si>
  <si>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</si>
  <si>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</si>
  <si>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</si>
  <si>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</si>
  <si>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</si>
  <si>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</si>
  <si>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</si>
  <si>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</si>
  <si>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</si>
  <si>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</si>
  <si>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</si>
  <si>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</si>
  <si>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</si>
  <si>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</si>
  <si>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</si>
  <si>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</si>
  <si>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</si>
  <si>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</si>
  <si>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</si>
  <si>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</si>
  <si>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</si>
  <si>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</si>
  <si>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</si>
  <si>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</si>
  <si>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</si>
  <si>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</si>
  <si>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</si>
  <si>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</si>
  <si>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</si>
  <si>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</si>
  <si>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</si>
  <si>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</si>
  <si>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</si>
  <si>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</si>
  <si>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</si>
  <si>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</si>
  <si>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</si>
  <si>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</si>
  <si>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</si>
  <si>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</si>
  <si>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</si>
  <si>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</si>
  <si>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</si>
  <si>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</si>
  <si>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</si>
  <si>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</si>
  <si>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</si>
  <si>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</si>
  <si>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</si>
  <si>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</si>
  <si>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</si>
  <si>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</si>
  <si>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</si>
  <si>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</si>
  <si>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</si>
  <si>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</si>
  <si>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</si>
  <si>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</si>
  <si>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</si>
  <si>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</si>
  <si>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</si>
  <si>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</si>
  <si>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</si>
  <si>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</si>
  <si>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</si>
  <si>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</si>
  <si>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</si>
  <si>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</si>
  <si>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</si>
  <si>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</si>
  <si>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</si>
  <si>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</si>
  <si>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</si>
  <si>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</si>
  <si>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</si>
  <si>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</si>
  <si>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</si>
  <si>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</si>
  <si>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</si>
  <si>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</si>
  <si>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</si>
  <si>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</si>
  <si>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</si>
  <si>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</si>
  <si>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</si>
  <si>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</si>
  <si>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</si>
  <si>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</si>
  <si>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</si>
  <si>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</si>
  <si>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</si>
  <si>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</si>
  <si>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</si>
  <si>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</si>
  <si>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</si>
  <si>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</si>
  <si>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</si>
  <si>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</si>
  <si>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</si>
  <si>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</si>
  <si>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</si>
  <si>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</si>
  <si>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</si>
  <si>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</si>
  <si>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</si>
  <si>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</si>
  <si>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</si>
  <si>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</si>
  <si>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</si>
  <si>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</si>
  <si>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</si>
  <si>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</si>
  <si>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</si>
  <si>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</si>
  <si>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</si>
  <si>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</si>
  <si>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</si>
  <si>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</si>
  <si>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</si>
  <si>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</si>
  <si>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</si>
  <si>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</si>
  <si>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</si>
  <si>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</si>
  <si>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</si>
  <si>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</si>
  <si>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</si>
  <si>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</si>
  <si>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</si>
  <si>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</si>
  <si>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</si>
  <si>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</si>
  <si>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</si>
  <si>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</si>
  <si>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</si>
  <si>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</si>
  <si>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</si>
  <si>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</si>
  <si>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</si>
  <si>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</si>
  <si>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</si>
  <si>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</si>
  <si>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</si>
  <si>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</si>
  <si>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</si>
  <si>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</si>
  <si>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</si>
  <si>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</si>
  <si>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</si>
  <si>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</si>
  <si>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</si>
  <si>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</si>
  <si>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</si>
  <si>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</si>
  <si>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</si>
  <si>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</si>
  <si>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</si>
  <si>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</si>
  <si>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</si>
  <si>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</si>
  <si>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</si>
  <si>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</si>
  <si>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</si>
  <si>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</si>
  <si>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</si>
  <si>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</si>
  <si>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</si>
  <si>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</si>
  <si>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</si>
  <si>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</si>
  <si>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</si>
  <si>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</si>
  <si>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</si>
  <si>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</si>
  <si>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</si>
  <si>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</si>
  <si>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</si>
  <si>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</si>
  <si>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</si>
  <si>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</si>
  <si>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</si>
  <si>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</si>
  <si>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</si>
  <si>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</si>
  <si>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</si>
  <si>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</si>
  <si>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</si>
  <si>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</si>
  <si>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</si>
  <si>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</si>
  <si>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</si>
  <si>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</si>
  <si>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</si>
  <si>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</si>
  <si>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</si>
  <si>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</si>
  <si>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</si>
  <si>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</si>
  <si>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</si>
  <si>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</si>
  <si>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</si>
  <si>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</si>
  <si>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</si>
  <si>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</si>
  <si>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</si>
  <si>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</si>
  <si>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</si>
  <si>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</si>
  <si>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</si>
  <si>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</si>
  <si>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</si>
  <si>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</si>
  <si>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</si>
  <si>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</si>
  <si>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</si>
  <si>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</si>
  <si>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</si>
  <si>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</si>
  <si>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</si>
  <si>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</si>
  <si>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</si>
  <si>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</si>
  <si>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</si>
  <si>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</si>
  <si>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</si>
  <si>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</si>
  <si>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</si>
  <si>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</si>
  <si>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</si>
  <si>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</si>
  <si>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</si>
  <si>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</si>
  <si>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</si>
  <si>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</si>
  <si>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</si>
  <si>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</si>
  <si>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</si>
  <si>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</si>
  <si>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</si>
  <si>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</si>
  <si>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</si>
  <si>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</si>
  <si>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</si>
  <si>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</si>
  <si>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</si>
  <si>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</si>
  <si>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</si>
  <si>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</si>
  <si>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</si>
  <si>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</si>
  <si>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</si>
  <si>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</si>
  <si>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</si>
  <si>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</si>
  <si>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</si>
  <si>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</si>
  <si>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</si>
  <si>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</si>
  <si>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</si>
  <si>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</si>
  <si>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</si>
  <si>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</si>
  <si>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</si>
  <si>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</si>
  <si>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</si>
  <si>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</si>
  <si>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</si>
  <si>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</si>
  <si>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</si>
  <si>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</si>
  <si>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</si>
  <si>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</si>
  <si>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</si>
  <si>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</si>
  <si>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</si>
  <si>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</si>
  <si>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</si>
  <si>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</si>
  <si>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</si>
  <si>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</si>
  <si>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</si>
  <si>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</si>
  <si>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</si>
  <si>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</si>
  <si>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</si>
  <si>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</si>
  <si>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</si>
  <si>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</si>
  <si>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</si>
  <si>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</si>
  <si>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</si>
  <si>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лучевой</t>
  </si>
  <si>
    <t>Оставлен</t>
  </si>
  <si>
    <t>150 ml</t>
  </si>
  <si>
    <t>Зарубина Н.Г.</t>
  </si>
  <si>
    <t>07:48</t>
  </si>
  <si>
    <t>5220</t>
  </si>
  <si>
    <t>неровности контуров</t>
  </si>
  <si>
    <t xml:space="preserve">Сбалансированный </t>
  </si>
  <si>
    <r>
      <t xml:space="preserve">кальциноз проксимального сегмента, стенозы проксимального и среднего сегментов. Антеградный кровоток - TIMI III. </t>
    </r>
    <r>
      <rPr>
        <b/>
        <sz val="12"/>
        <color theme="1"/>
        <rFont val="Arial Narrow"/>
        <family val="2"/>
        <charset val="204"/>
      </rPr>
      <t/>
    </r>
  </si>
  <si>
    <t xml:space="preserve">стеноз проксимального сегмента 30%, стеноз среднего сегмента 40%. Антеградный кровоток - TIMI III. </t>
  </si>
  <si>
    <t>стенозы проксимального сегмента 30%, острая тотальная окклюзия на уровне среднего сегмента, стеноз дистального сегмента 80%. TTG1. Rentrop 1. Антеградный кровоток - TIMI 0.</t>
  </si>
  <si>
    <t>С учетом клинической картины, КАГ показана экстренная реваскуляризация ПКА.</t>
  </si>
  <si>
    <t xml:space="preserve">Контроль места пункции, повязка  на руке до 6 ч. </t>
  </si>
  <si>
    <t>Устье ПКА катетеризировано проводниковым катетером LauncherJR 4,0 6Fr. Коронарный проводник Shunmei 0/7 проведен за зону окклюзии в дистальный сегмента ПКА. Частичная реканализация на проводнике - (t-17:02). БК колибри 2.0-15  выполнена ангиопастика и полная реканализация артерии (t-17:05) - кровоток ближе к TIMI III. В зону дистального сегмента ПКА имплантирован DES Resolute Integrity 3,0-18 мм, давлением 12 атм. В зону среднего сегмента с частичным покрытием проксимального сегмента имплантирован DES Resolute Integrity 3,5-38 мм, давлением 12 атм. Постдилятация проксимального стента на всём протяжении БК Аксиома 3.75-8, давлением до 16 атм. На контрольных съемках стенты раскрыты удовлетворительно, тромбоза, диссекций, экстравазации контрастного вещества не выявлено. Ангиографический результат удовлетворительный. Антеградный кровоток в ПКА востановлен до TIMI III. Пациентка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</si>
</sst>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3" fillId="9" borderId="21" applyNumberFormat="0" applyAlignment="0" applyProtection="0"/>
  </cellStyleXfs>
  <cellXfs count="2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29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29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0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6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3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1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29" fillId="0" borderId="0" xfId="0" applyFont="1" applyAlignment="1">
      <alignment vertical="top"/>
    </xf>
    <xf numFmtId="0" fontId="29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5" fillId="9" borderId="21" xfId="7" applyFont="1" applyAlignment="1">
      <alignment horizontal="left" vertical="center"/>
    </xf>
    <xf numFmtId="14" fontId="44" fillId="9" borderId="22" xfId="7" applyNumberFormat="1" applyFont="1" applyBorder="1" applyAlignment="1" applyProtection="1">
      <alignment horizontal="right" vertical="center"/>
    </xf>
    <xf numFmtId="0" fontId="44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5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7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4" fillId="0" borderId="0" xfId="0" applyFont="1" applyAlignment="1">
      <alignment horizontal="centerContinuous" vertical="center"/>
    </xf>
    <xf numFmtId="0" fontId="46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5" fillId="9" borderId="23" xfId="7" applyFont="1" applyBorder="1" applyAlignment="1">
      <alignment horizontal="left" vertical="center"/>
    </xf>
    <xf numFmtId="0" fontId="43" fillId="9" borderId="12" xfId="7" applyBorder="1" applyAlignment="1" applyProtection="1">
      <alignment horizontal="left" vertical="center"/>
    </xf>
    <xf numFmtId="0" fontId="43" fillId="9" borderId="24" xfId="7" applyBorder="1" applyAlignment="1" applyProtection="1">
      <alignment horizontal="justify" vertical="justify" wrapText="1"/>
    </xf>
    <xf numFmtId="0" fontId="43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4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2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2" fillId="0" borderId="20" xfId="0" applyNumberFormat="1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5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3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3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6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2" fillId="0" borderId="11" xfId="0" applyFont="1" applyBorder="1" applyAlignment="1">
      <alignment horizontal="right" vertical="top"/>
    </xf>
    <xf numFmtId="0" fontId="62" fillId="0" borderId="12" xfId="0" applyFont="1" applyBorder="1" applyAlignment="1">
      <alignment horizontal="left" vertical="center"/>
    </xf>
    <xf numFmtId="0" fontId="36" fillId="0" borderId="0" xfId="0" applyFont="1" applyAlignment="1" applyProtection="1">
      <alignment vertical="center"/>
      <protection locked="0"/>
    </xf>
    <xf numFmtId="0" fontId="0" fillId="0" borderId="0" xfId="0" applyFont="1"/>
    <xf numFmtId="0" fontId="62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62" fillId="0" borderId="10" xfId="0" applyFont="1" applyBorder="1" applyAlignment="1">
      <alignment horizontal="left" vertical="top" wrapText="1"/>
    </xf>
    <xf numFmtId="0" fontId="36" fillId="0" borderId="0" xfId="0" applyFont="1"/>
    <xf numFmtId="0" fontId="63" fillId="0" borderId="0" xfId="0" applyFont="1" applyAlignment="1">
      <alignment vertical="top" wrapText="1"/>
    </xf>
    <xf numFmtId="0" fontId="36" fillId="0" borderId="8" xfId="0" applyFont="1" applyBorder="1"/>
    <xf numFmtId="0" fontId="36" fillId="0" borderId="3" xfId="0" applyFont="1" applyBorder="1"/>
    <xf numFmtId="0" fontId="63" fillId="0" borderId="3" xfId="0" applyFont="1" applyBorder="1" applyAlignment="1">
      <alignment vertical="top" wrapText="1"/>
    </xf>
    <xf numFmtId="0" fontId="36" fillId="0" borderId="9" xfId="0" applyFont="1" applyBorder="1"/>
    <xf numFmtId="0" fontId="63" fillId="0" borderId="8" xfId="0" applyFont="1" applyBorder="1" applyAlignment="1">
      <alignment vertical="top" wrapText="1"/>
    </xf>
    <xf numFmtId="0" fontId="36" fillId="0" borderId="12" xfId="0" applyFont="1" applyBorder="1"/>
    <xf numFmtId="0" fontId="63" fillId="0" borderId="12" xfId="0" applyFont="1" applyBorder="1" applyAlignment="1">
      <alignment vertical="top" wrapText="1"/>
    </xf>
    <xf numFmtId="0" fontId="36" fillId="0" borderId="0" xfId="0" applyFont="1" applyAlignment="1" applyProtection="1">
      <alignment horizontal="left"/>
      <protection locked="0"/>
    </xf>
    <xf numFmtId="0" fontId="64" fillId="0" borderId="0" xfId="0" applyFont="1" applyAlignment="1">
      <alignment horizontal="left"/>
    </xf>
    <xf numFmtId="0" fontId="16" fillId="0" borderId="12" xfId="0" applyFont="1" applyBorder="1"/>
    <xf numFmtId="0" fontId="15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5" fillId="6" borderId="7" xfId="4" applyNumberFormat="1" applyFont="1" applyBorder="1" applyAlignment="1" applyProtection="1">
      <alignment horizontal="left" vertical="center"/>
      <protection locked="0"/>
    </xf>
    <xf numFmtId="0" fontId="26" fillId="0" borderId="0" xfId="0" applyFont="1" applyAlignment="1">
      <alignment vertical="top"/>
    </xf>
    <xf numFmtId="0" fontId="61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4" fillId="0" borderId="0" xfId="0" applyFont="1" applyAlignment="1">
      <alignment horizontal="left" vertical="center" wrapText="1"/>
    </xf>
    <xf numFmtId="0" fontId="48" fillId="0" borderId="0" xfId="0" applyFont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35" fillId="0" borderId="12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21" fillId="0" borderId="3" xfId="0" applyFont="1" applyBorder="1" applyAlignment="1" applyProtection="1">
      <alignment horizontal="left" vertical="center"/>
      <protection locked="0"/>
    </xf>
    <xf numFmtId="0" fontId="32" fillId="0" borderId="12" xfId="0" applyFont="1" applyBorder="1" applyAlignment="1" applyProtection="1">
      <alignment horizontal="center" vertical="distributed" wrapText="1"/>
      <protection locked="0"/>
    </xf>
    <xf numFmtId="0" fontId="32" fillId="0" borderId="0" xfId="0" applyFont="1" applyAlignment="1" applyProtection="1">
      <alignment horizontal="center" vertical="distributed" wrapText="1"/>
      <protection locked="0"/>
    </xf>
    <xf numFmtId="0" fontId="32" fillId="0" borderId="13" xfId="0" applyFont="1" applyBorder="1" applyAlignment="1" applyProtection="1">
      <alignment horizontal="center" vertical="distributed" wrapText="1"/>
      <protection locked="0"/>
    </xf>
    <xf numFmtId="0" fontId="47" fillId="0" borderId="3" xfId="0" applyFont="1" applyBorder="1" applyAlignment="1" applyProtection="1">
      <alignment horizontal="left" vertical="center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justify" vertical="top" wrapText="1"/>
      <protection locked="0"/>
    </xf>
    <xf numFmtId="0" fontId="37" fillId="0" borderId="13" xfId="0" applyFont="1" applyBorder="1" applyAlignment="1" applyProtection="1">
      <alignment horizontal="justify" vertical="top" wrapText="1"/>
      <protection locked="0"/>
    </xf>
    <xf numFmtId="0" fontId="66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  <xf numFmtId="20" fontId="15" fillId="0" borderId="13" xfId="0" applyNumberFormat="1" applyFont="1" applyBorder="1" applyAlignment="1" applyProtection="1">
      <alignment horizontal="left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8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B20" sqref="B20:H21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6" t="s">
        <v>213</v>
      </c>
      <c r="B6" s="227"/>
      <c r="C6" s="227"/>
      <c r="D6" s="227"/>
      <c r="E6" s="227"/>
      <c r="F6" s="227"/>
      <c r="G6" s="227"/>
      <c r="H6" s="228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8">
        <v>45657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0.6875</v>
      </c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>
        <v>0.70486111111111116</v>
      </c>
      <c r="C10" s="51"/>
      <c r="D10" s="83" t="s">
        <v>173</v>
      </c>
      <c r="E10" s="81"/>
      <c r="F10" s="81"/>
      <c r="G10" s="22" t="s">
        <v>185</v>
      </c>
      <c r="H10" s="24"/>
    </row>
    <row r="11" spans="1:8" ht="17.25" thickTop="1" thickBot="1">
      <c r="A11" s="77" t="s">
        <v>192</v>
      </c>
      <c r="B11" s="185" t="s">
        <v>531</v>
      </c>
      <c r="C11" s="8"/>
      <c r="D11" s="83" t="s">
        <v>170</v>
      </c>
      <c r="E11" s="81"/>
      <c r="F11" s="81"/>
      <c r="G11" s="22" t="s">
        <v>254</v>
      </c>
      <c r="H11" s="24"/>
    </row>
    <row r="12" spans="1:8" ht="16.5" thickTop="1">
      <c r="A12" s="72" t="s">
        <v>8</v>
      </c>
      <c r="B12" s="73">
        <v>22422</v>
      </c>
      <c r="C12" s="11"/>
      <c r="D12" s="83" t="s">
        <v>303</v>
      </c>
      <c r="E12" s="81"/>
      <c r="F12" s="81"/>
      <c r="G12" s="22" t="s">
        <v>369</v>
      </c>
      <c r="H12" s="24"/>
    </row>
    <row r="13" spans="1:8" ht="15.75">
      <c r="A13" s="14" t="s">
        <v>10</v>
      </c>
      <c r="B13" s="28">
        <f>DATEDIF(B12,B8,"y")</f>
        <v>63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36820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532</v>
      </c>
    </row>
    <row r="16" spans="1:8" ht="15.6" customHeight="1">
      <c r="A16" s="14" t="s">
        <v>106</v>
      </c>
      <c r="B16" s="18" t="s">
        <v>485</v>
      </c>
      <c r="C16"/>
      <c r="D16" s="32"/>
      <c r="E16" s="32"/>
      <c r="F16" s="32"/>
      <c r="G16" s="151" t="s">
        <v>401</v>
      </c>
      <c r="H16" s="154" t="s">
        <v>533</v>
      </c>
    </row>
    <row r="17" spans="1:8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9.9179999999999993</v>
      </c>
    </row>
    <row r="18" spans="1:8" ht="14.45" customHeight="1">
      <c r="A18" s="198" t="s">
        <v>188</v>
      </c>
      <c r="B18" s="199" t="s">
        <v>535</v>
      </c>
      <c r="C18" s="204"/>
      <c r="D18" s="205" t="s">
        <v>210</v>
      </c>
      <c r="E18" s="205"/>
      <c r="F18" s="205"/>
      <c r="G18" s="201" t="s">
        <v>189</v>
      </c>
      <c r="H18" s="202" t="s">
        <v>528</v>
      </c>
    </row>
    <row r="19" spans="1:8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8" ht="14.45" customHeight="1">
      <c r="A20" s="198" t="s">
        <v>212</v>
      </c>
      <c r="B20" s="224" t="s">
        <v>534</v>
      </c>
      <c r="C20" s="229"/>
      <c r="D20" s="229"/>
      <c r="E20" s="229"/>
      <c r="F20" s="229"/>
      <c r="G20" s="229"/>
      <c r="H20" s="230"/>
    </row>
    <row r="21" spans="1:8" ht="15.75">
      <c r="A21" s="210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203" t="s">
        <v>271</v>
      </c>
      <c r="B22" s="233" t="s">
        <v>536</v>
      </c>
      <c r="C22" s="233"/>
      <c r="D22" s="233"/>
      <c r="E22" s="233"/>
      <c r="F22" s="233"/>
      <c r="G22" s="233"/>
      <c r="H22" s="234"/>
    </row>
    <row r="23" spans="1:8" ht="14.45" customHeight="1">
      <c r="A23" s="211"/>
      <c r="B23" s="224"/>
      <c r="C23" s="224"/>
      <c r="D23" s="224"/>
      <c r="E23" s="224"/>
      <c r="F23" s="224"/>
      <c r="G23" s="224"/>
      <c r="H23" s="225"/>
    </row>
    <row r="24" spans="1:8" ht="14.45" customHeight="1">
      <c r="A24" s="212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211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206"/>
      <c r="B26" s="235"/>
      <c r="C26" s="235"/>
      <c r="D26" s="235"/>
      <c r="E26" s="235"/>
      <c r="F26" s="235"/>
      <c r="G26" s="235"/>
      <c r="H26" s="236"/>
    </row>
    <row r="27" spans="1:8" ht="14.45" customHeight="1">
      <c r="A27" s="203" t="s">
        <v>272</v>
      </c>
      <c r="B27" s="233" t="s">
        <v>537</v>
      </c>
      <c r="C27" s="233"/>
      <c r="D27" s="233"/>
      <c r="E27" s="233"/>
      <c r="F27" s="233"/>
      <c r="G27" s="233"/>
      <c r="H27" s="234"/>
    </row>
    <row r="28" spans="1:8" ht="15.6" customHeight="1">
      <c r="A28" s="211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211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212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210"/>
      <c r="B31" s="235"/>
      <c r="C31" s="235"/>
      <c r="D31" s="235"/>
      <c r="E31" s="235"/>
      <c r="F31" s="235"/>
      <c r="G31" s="235"/>
      <c r="H31" s="236"/>
    </row>
    <row r="32" spans="1:8" ht="14.45" customHeight="1">
      <c r="A32" s="203" t="s">
        <v>273</v>
      </c>
      <c r="B32" s="233" t="s">
        <v>538</v>
      </c>
      <c r="C32" s="233"/>
      <c r="D32" s="233"/>
      <c r="E32" s="233"/>
      <c r="F32" s="233"/>
      <c r="G32" s="233"/>
      <c r="H32" s="234"/>
    </row>
    <row r="33" spans="1:8" ht="14.45" customHeight="1">
      <c r="A33" s="211"/>
      <c r="B33" s="224"/>
      <c r="C33" s="224"/>
      <c r="D33" s="224"/>
      <c r="E33" s="224"/>
      <c r="F33" s="224"/>
      <c r="G33" s="224"/>
      <c r="H33" s="225"/>
    </row>
    <row r="34" spans="1:8" ht="15.6" customHeight="1">
      <c r="A34" s="211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211"/>
      <c r="B35" s="224"/>
      <c r="C35" s="224"/>
      <c r="D35" s="224"/>
      <c r="E35" s="224"/>
      <c r="F35" s="224"/>
      <c r="G35" s="224"/>
      <c r="H35" s="225"/>
    </row>
    <row r="36" spans="1:8" ht="15.6" customHeight="1">
      <c r="A36" s="211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4"/>
      <c r="B37"/>
      <c r="C37"/>
      <c r="D37" s="223" t="str">
        <f>IF($A$6=Вмешательства!$D$3,Вмешательства!$F$18,"")</f>
        <v/>
      </c>
      <c r="E37" s="223"/>
      <c r="F37" s="106"/>
      <c r="G37" s="106"/>
      <c r="H37" s="109"/>
    </row>
    <row r="38" spans="1:8" ht="14.45" customHeight="1">
      <c r="A38" s="34"/>
      <c r="B38"/>
      <c r="C38" s="110"/>
      <c r="D38" s="224"/>
      <c r="E38" s="224"/>
      <c r="F38" s="224"/>
      <c r="G38" s="224"/>
      <c r="H38" s="225"/>
    </row>
    <row r="39" spans="1:8" ht="14.45" customHeight="1">
      <c r="A39" s="31"/>
      <c r="B39" s="106"/>
      <c r="C39" s="110"/>
      <c r="D39" s="224"/>
      <c r="E39" s="224"/>
      <c r="F39" s="224"/>
      <c r="G39" s="224"/>
      <c r="H39" s="225"/>
    </row>
    <row r="40" spans="1:8" ht="14.45" customHeight="1">
      <c r="A40" s="31"/>
      <c r="B40" s="106"/>
      <c r="C40" s="110"/>
      <c r="D40" s="224"/>
      <c r="E40" s="224"/>
      <c r="F40" s="224"/>
      <c r="G40" s="224"/>
      <c r="H40" s="225"/>
    </row>
    <row r="41" spans="1:8" ht="14.45" customHeight="1">
      <c r="A41" s="31"/>
      <c r="B41" s="106"/>
      <c r="C41" s="110"/>
      <c r="D41" s="224"/>
      <c r="E41" s="224"/>
      <c r="F41" s="224"/>
      <c r="G41" s="224"/>
      <c r="H41" s="225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0" t="s">
        <v>539</v>
      </c>
      <c r="E43" s="221"/>
      <c r="F43" s="221"/>
      <c r="G43" s="221"/>
      <c r="H43" s="222"/>
    </row>
    <row r="44" spans="1:8" ht="14.45" customHeight="1">
      <c r="A44" s="31"/>
      <c r="B44" s="106"/>
      <c r="C44" s="112"/>
      <c r="D44" s="221"/>
      <c r="E44" s="221"/>
      <c r="F44" s="221"/>
      <c r="G44" s="221"/>
      <c r="H44" s="222"/>
    </row>
    <row r="45" spans="1:8" ht="14.45" customHeight="1">
      <c r="A45" s="31"/>
      <c r="B45" s="106"/>
      <c r="C45" s="112"/>
      <c r="D45" s="221"/>
      <c r="E45" s="221"/>
      <c r="F45" s="221"/>
      <c r="G45" s="221"/>
      <c r="H45" s="222"/>
    </row>
    <row r="46" spans="1:8">
      <c r="A46" s="31"/>
      <c r="B46" s="106"/>
      <c r="C46" s="112"/>
      <c r="D46" s="221"/>
      <c r="E46" s="221"/>
      <c r="F46" s="221"/>
      <c r="G46" s="221"/>
      <c r="H46" s="222"/>
    </row>
    <row r="47" spans="1:8">
      <c r="A47" s="34"/>
      <c r="B47"/>
      <c r="C47" s="112"/>
      <c r="D47" s="221"/>
      <c r="E47" s="221"/>
      <c r="F47" s="221"/>
      <c r="G47" s="221"/>
      <c r="H47" s="222"/>
    </row>
    <row r="48" spans="1:8">
      <c r="A48" s="34"/>
      <c r="B48"/>
      <c r="C48" s="112"/>
      <c r="D48" s="221"/>
      <c r="E48" s="221"/>
      <c r="F48" s="221"/>
      <c r="G48" s="221"/>
      <c r="H48" s="222"/>
    </row>
    <row r="49" spans="1:13">
      <c r="A49" s="34"/>
      <c r="B49" s="187"/>
      <c r="C49" s="188"/>
      <c r="D49" s="221"/>
      <c r="E49" s="221"/>
      <c r="F49" s="221"/>
      <c r="G49" s="221"/>
      <c r="H49" s="222"/>
    </row>
    <row r="50" spans="1:13">
      <c r="A50" s="34"/>
      <c r="B50"/>
      <c r="C50"/>
      <c r="D50" s="221"/>
      <c r="E50" s="221"/>
      <c r="F50" s="221"/>
      <c r="G50" s="221"/>
      <c r="H50" s="222"/>
      <c r="M50" t="s">
        <v>211</v>
      </c>
    </row>
    <row r="51" spans="1:13">
      <c r="A51" s="54" t="s">
        <v>199</v>
      </c>
      <c r="B51" s="55" t="s">
        <v>527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529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zoomScaleNormal="100" zoomScaleSheetLayoutView="100" zoomScalePageLayoutView="90" workbookViewId="0">
      <selection activeCell="J23" sqref="J23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47" t="s">
        <v>208</v>
      </c>
      <c r="B6" s="248"/>
      <c r="C6" s="248"/>
      <c r="D6" s="248"/>
      <c r="E6" s="248"/>
      <c r="F6" s="248"/>
      <c r="G6" s="248"/>
      <c r="H6" s="249"/>
    </row>
    <row r="7" spans="1:8" ht="21.6" customHeight="1">
      <c r="A7" s="247"/>
      <c r="B7" s="248"/>
      <c r="C7" s="248"/>
      <c r="D7" s="248"/>
      <c r="E7" s="248"/>
      <c r="F7" s="248"/>
      <c r="G7" s="248"/>
      <c r="H7" s="249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6" t="s">
        <v>216</v>
      </c>
      <c r="D8" s="246"/>
      <c r="E8" s="246"/>
      <c r="F8" s="172">
        <v>2</v>
      </c>
      <c r="G8" s="105" t="s">
        <v>309</v>
      </c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B9"/>
      <c r="C9" s="250"/>
      <c r="D9" s="250"/>
      <c r="E9" s="250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71"/>
      <c r="C10" s="251"/>
      <c r="D10" s="251"/>
      <c r="E10" s="251"/>
      <c r="F10" s="175"/>
      <c r="G10" s="105"/>
      <c r="H10" s="35"/>
    </row>
    <row r="11" spans="1:8">
      <c r="A11" s="174"/>
      <c r="B11" s="178"/>
      <c r="C11" s="181">
        <f>SUM(F8:F10)</f>
        <v>2</v>
      </c>
      <c r="D11"/>
      <c r="E11"/>
      <c r="F11"/>
      <c r="G11"/>
      <c r="H11" s="35"/>
    </row>
    <row r="12" spans="1:8" ht="18.75">
      <c r="A12" s="67" t="s">
        <v>191</v>
      </c>
      <c r="B12" s="218">
        <f>КАГ!B8</f>
        <v>45657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0.70486111111111116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0.72916666666666663</v>
      </c>
      <c r="C14" s="11"/>
      <c r="D14" s="83" t="s">
        <v>173</v>
      </c>
      <c r="E14" s="81"/>
      <c r="F14" s="81"/>
      <c r="G14" s="71" t="str">
        <f>КАГ!G10</f>
        <v>Щербакова С.М.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2.4305555555555469E-2</v>
      </c>
      <c r="C15"/>
      <c r="D15" s="83" t="s">
        <v>170</v>
      </c>
      <c r="E15" s="81"/>
      <c r="F15" s="81"/>
      <c r="G15" s="71" t="str">
        <f>КАГ!G11</f>
        <v>Молотков А.В.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Зарубина Н.Г.</v>
      </c>
      <c r="C16" s="182">
        <f>LEN(КАГ!B11)</f>
        <v>13</v>
      </c>
      <c r="D16" s="83" t="s">
        <v>303</v>
      </c>
      <c r="E16" s="81"/>
      <c r="F16" s="81"/>
      <c r="G16" s="71" t="str">
        <f>КАГ!G12</f>
        <v>Фисура О.И.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22422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63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36820</v>
      </c>
      <c r="C19" s="61"/>
      <c r="D19" s="61"/>
      <c r="E19" s="61"/>
      <c r="F19" s="61"/>
      <c r="G19" s="150" t="s">
        <v>399</v>
      </c>
      <c r="H19" s="164" t="str">
        <f>КАГ!H15</f>
        <v>07:48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5220</v>
      </c>
    </row>
    <row r="21" spans="1:8" ht="14.45" customHeight="1">
      <c r="A21" s="14" t="s">
        <v>106</v>
      </c>
      <c r="B21" s="59" t="str">
        <f>КАГ!B16</f>
        <v>ОКС с ↑ ST</v>
      </c>
      <c r="C21" s="62"/>
      <c r="D21"/>
      <c r="E21" s="63"/>
      <c r="F21" s="63"/>
      <c r="G21" s="152" t="s">
        <v>388</v>
      </c>
      <c r="H21" s="153">
        <f>КАГ!H17</f>
        <v>9.9179999999999993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>Реканализация:</v>
      </c>
      <c r="H22" s="259">
        <v>0.71180555555555547</v>
      </c>
    </row>
    <row r="23" spans="1:8" ht="14.45" customHeight="1">
      <c r="A23" s="215" t="s">
        <v>391</v>
      </c>
      <c r="B23" s="216" t="s">
        <v>390</v>
      </c>
      <c r="C23" s="148"/>
      <c r="D23" s="148"/>
      <c r="E23" s="148"/>
      <c r="F23" s="148"/>
      <c r="G23" s="200"/>
      <c r="H23" s="217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4" t="s">
        <v>541</v>
      </c>
      <c r="B25" s="255"/>
      <c r="C25" s="255"/>
      <c r="D25" s="255"/>
      <c r="E25" s="255"/>
      <c r="F25" s="255"/>
      <c r="G25" s="255"/>
      <c r="H25" s="256"/>
    </row>
    <row r="26" spans="1:8" ht="14.45" customHeight="1">
      <c r="A26" s="257"/>
      <c r="B26" s="255"/>
      <c r="C26" s="255"/>
      <c r="D26" s="255"/>
      <c r="E26" s="255"/>
      <c r="F26" s="255"/>
      <c r="G26" s="255"/>
      <c r="H26" s="256"/>
    </row>
    <row r="27" spans="1:8" ht="14.45" customHeight="1">
      <c r="A27" s="257"/>
      <c r="B27" s="255"/>
      <c r="C27" s="255"/>
      <c r="D27" s="255"/>
      <c r="E27" s="255"/>
      <c r="F27" s="255"/>
      <c r="G27" s="255"/>
      <c r="H27" s="256"/>
    </row>
    <row r="28" spans="1:8" ht="14.45" customHeight="1">
      <c r="A28" s="257"/>
      <c r="B28" s="255"/>
      <c r="C28" s="255"/>
      <c r="D28" s="255"/>
      <c r="E28" s="255"/>
      <c r="F28" s="255"/>
      <c r="G28" s="255"/>
      <c r="H28" s="256"/>
    </row>
    <row r="29" spans="1:8" ht="14.45" customHeight="1">
      <c r="A29" s="257"/>
      <c r="B29" s="255"/>
      <c r="C29" s="255"/>
      <c r="D29" s="255"/>
      <c r="E29" s="255"/>
      <c r="F29" s="255"/>
      <c r="G29" s="255"/>
      <c r="H29" s="256"/>
    </row>
    <row r="30" spans="1:8" ht="14.45" customHeight="1">
      <c r="A30" s="257"/>
      <c r="B30" s="255"/>
      <c r="C30" s="255"/>
      <c r="D30" s="255"/>
      <c r="E30" s="255"/>
      <c r="F30" s="255"/>
      <c r="G30" s="255"/>
      <c r="H30" s="256"/>
    </row>
    <row r="31" spans="1:8" ht="14.45" customHeight="1">
      <c r="A31" s="257"/>
      <c r="B31" s="255"/>
      <c r="C31" s="255"/>
      <c r="D31" s="255"/>
      <c r="E31" s="255"/>
      <c r="F31" s="255"/>
      <c r="G31" s="255"/>
      <c r="H31" s="256"/>
    </row>
    <row r="32" spans="1:8" ht="14.45" customHeight="1">
      <c r="A32" s="257"/>
      <c r="B32" s="255"/>
      <c r="C32" s="255"/>
      <c r="D32" s="255"/>
      <c r="E32" s="255"/>
      <c r="F32" s="255"/>
      <c r="G32" s="255"/>
      <c r="H32" s="256"/>
    </row>
    <row r="33" spans="1:12" ht="14.45" customHeight="1">
      <c r="A33" s="257"/>
      <c r="B33" s="255"/>
      <c r="C33" s="255"/>
      <c r="D33" s="255"/>
      <c r="E33" s="255"/>
      <c r="F33" s="255"/>
      <c r="G33" s="255"/>
      <c r="H33" s="256"/>
    </row>
    <row r="34" spans="1:12" ht="14.45" customHeight="1">
      <c r="A34" s="257"/>
      <c r="B34" s="255"/>
      <c r="C34" s="255"/>
      <c r="D34" s="255"/>
      <c r="E34" s="255"/>
      <c r="F34" s="255"/>
      <c r="G34" s="255"/>
      <c r="H34" s="256"/>
    </row>
    <row r="35" spans="1:12" ht="14.45" customHeight="1">
      <c r="A35" s="257"/>
      <c r="B35" s="255"/>
      <c r="C35" s="255"/>
      <c r="D35" s="255"/>
      <c r="E35" s="255"/>
      <c r="F35" s="255"/>
      <c r="G35" s="255"/>
      <c r="H35" s="256"/>
    </row>
    <row r="36" spans="1:12" ht="14.45" customHeight="1">
      <c r="A36" s="257"/>
      <c r="B36" s="255"/>
      <c r="C36" s="255"/>
      <c r="D36" s="255"/>
      <c r="E36" s="255"/>
      <c r="F36" s="255"/>
      <c r="G36" s="255"/>
      <c r="H36" s="256"/>
    </row>
    <row r="37" spans="1:12" ht="14.45" customHeight="1">
      <c r="A37" s="257"/>
      <c r="B37" s="255"/>
      <c r="C37" s="255"/>
      <c r="D37" s="255"/>
      <c r="E37" s="255"/>
      <c r="F37" s="255"/>
      <c r="G37" s="255"/>
      <c r="H37" s="256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СТЕНТ/Ы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19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521</v>
      </c>
      <c r="C40" s="107"/>
      <c r="D40" s="258" t="s">
        <v>540</v>
      </c>
      <c r="E40" s="252"/>
      <c r="F40" s="252"/>
      <c r="G40" s="252"/>
      <c r="H40" s="253"/>
    </row>
    <row r="41" spans="1:12" ht="14.45" customHeight="1">
      <c r="A41" s="30"/>
      <c r="B41" s="26"/>
      <c r="C41" s="107"/>
      <c r="D41" s="252"/>
      <c r="E41" s="252"/>
      <c r="F41" s="252"/>
      <c r="G41" s="252"/>
      <c r="H41" s="253"/>
    </row>
    <row r="42" spans="1:12" ht="14.45" customHeight="1">
      <c r="A42" s="30"/>
      <c r="B42" s="26"/>
      <c r="C42" s="107"/>
      <c r="D42" s="252"/>
      <c r="E42" s="252"/>
      <c r="F42" s="252"/>
      <c r="G42" s="252"/>
      <c r="H42" s="253"/>
    </row>
    <row r="43" spans="1:12" ht="14.45" customHeight="1">
      <c r="A43" s="30"/>
      <c r="B43" s="26"/>
      <c r="C43" s="107"/>
      <c r="D43" s="252"/>
      <c r="E43" s="252"/>
      <c r="F43" s="252"/>
      <c r="G43" s="252"/>
      <c r="H43" s="253"/>
    </row>
    <row r="44" spans="1:12" ht="14.45" customHeight="1">
      <c r="A44" s="30"/>
      <c r="B44" s="26"/>
      <c r="C44" s="107"/>
      <c r="D44" s="252"/>
      <c r="E44" s="252"/>
      <c r="F44" s="252"/>
      <c r="G44" s="252"/>
      <c r="H44" s="253"/>
      <c r="L44" s="146"/>
    </row>
    <row r="45" spans="1:12" ht="14.45" customHeight="1">
      <c r="A45" s="30"/>
      <c r="B45" s="26"/>
      <c r="C45" s="107"/>
      <c r="D45" s="252"/>
      <c r="E45" s="252"/>
      <c r="F45" s="252"/>
      <c r="G45" s="252"/>
      <c r="H45" s="253"/>
    </row>
    <row r="46" spans="1:12" ht="14.45" customHeight="1">
      <c r="A46" s="30"/>
      <c r="B46" s="26"/>
      <c r="C46" s="107"/>
      <c r="D46" s="252"/>
      <c r="E46" s="252"/>
      <c r="F46" s="252"/>
      <c r="G46" s="252"/>
      <c r="H46" s="253"/>
    </row>
    <row r="47" spans="1:12" ht="14.45" customHeight="1">
      <c r="A47" s="34"/>
      <c r="B47"/>
      <c r="C47" s="107"/>
      <c r="D47" s="252"/>
      <c r="E47" s="252"/>
      <c r="F47" s="252"/>
      <c r="G47" s="252"/>
      <c r="H47" s="253"/>
    </row>
    <row r="48" spans="1:12" ht="14.45" customHeight="1">
      <c r="A48" s="34"/>
      <c r="B48"/>
      <c r="C48" s="107"/>
      <c r="D48" s="252"/>
      <c r="E48" s="252"/>
      <c r="F48" s="252"/>
      <c r="G48" s="252"/>
      <c r="H48" s="253"/>
    </row>
    <row r="49" spans="1:8" ht="14.45" customHeight="1">
      <c r="A49" s="34"/>
      <c r="B49"/>
      <c r="C49" s="107"/>
      <c r="D49" s="252"/>
      <c r="E49" s="252"/>
      <c r="F49" s="252"/>
      <c r="G49" s="252"/>
      <c r="H49" s="253"/>
    </row>
    <row r="50" spans="1:8">
      <c r="A50" s="54" t="s">
        <v>199</v>
      </c>
      <c r="B50" s="55" t="s">
        <v>530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37" t="s">
        <v>371</v>
      </c>
      <c r="B52" s="238"/>
      <c r="C52" s="238"/>
      <c r="D52" s="238"/>
      <c r="E52" s="238"/>
      <c r="F52" s="239"/>
      <c r="G52"/>
      <c r="H52" s="35"/>
    </row>
    <row r="53" spans="1:8" ht="15" customHeight="1">
      <c r="A53" s="240"/>
      <c r="B53" s="241"/>
      <c r="C53" s="241"/>
      <c r="D53" s="241"/>
      <c r="E53" s="241"/>
      <c r="F53" s="242"/>
      <c r="G53" s="66" t="str">
        <f>IF(ISBLANK(H13),"",H13)</f>
        <v/>
      </c>
      <c r="H53" s="56"/>
    </row>
    <row r="54" spans="1:8">
      <c r="A54" s="243"/>
      <c r="B54" s="244"/>
      <c r="C54" s="244"/>
      <c r="D54" s="244"/>
      <c r="E54" s="244"/>
      <c r="F54" s="245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Сбалансированный 
Ствол ЛКА:   неровности контуров
Бассейн ПНА:   кальциноз проксимального сегмента, стенозы проксимального и среднего сегментов. Антеградный кровоток - TIMI III. 
Бассейн  ОА:   стеноз проксимального сегмента 30%, стеноз среднего сегмента 40%. Антеградный кровоток - TIMI III. 
Бассейн ПКА:   стенозы проксимального сегмента 30%, острая тотальная окклюзия на уровне среднего сегмента, стеноз дистального сегмента 80%. TTG1. Rentrop 1. Антеградный кровоток - TIMI 0.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0" sqref="B20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45657</v>
      </c>
      <c r="C2" s="138" t="str">
        <f>IF(ЧКВ!A6=Вмешательства!D4,Вмешательства!F20,IF(ЧКВ!A6=Вмешательства!D36,Вмешательства!F20,Вмешательства!F22))</f>
        <v>ВМП 1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Зарубина Н.Г.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9" t="str">
        <f>IF(ISBLANK(КАГ!A6),"",КАГ!A6)</f>
        <v>КОРОНАРОГРАФИЯ</v>
      </c>
      <c r="C5" s="117" t="s">
        <v>8</v>
      </c>
      <c r="D5" s="89">
        <f>КАГ!$B$12</f>
        <v>22422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20" t="str">
        <f>ЧКВ!A6</f>
        <v xml:space="preserve">Транслюминальная баллонная ангиопластика и стентирование коронарных артерий. </v>
      </c>
      <c r="C6" s="117" t="s">
        <v>10</v>
      </c>
      <c r="D6" s="90">
        <f>DATEDIF(D5,D10,"y")</f>
        <v>63</v>
      </c>
    </row>
    <row r="7" spans="1:4">
      <c r="A7" s="34"/>
      <c r="B7"/>
      <c r="C7" s="88" t="s">
        <v>12</v>
      </c>
      <c r="D7" s="90">
        <f>КАГ!$B$14</f>
        <v>36820</v>
      </c>
    </row>
    <row r="8" spans="1:4">
      <c r="A8" s="176" t="str">
        <f>ЧКВ!$A$9</f>
        <v>Код модели: 21166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>Код метода: 46</v>
      </c>
      <c r="B9"/>
      <c r="C9" s="92" t="s">
        <v>106</v>
      </c>
      <c r="D9" s="90" t="str">
        <f>КАГ!$B$16</f>
        <v>ОКС с ↑ ST</v>
      </c>
    </row>
    <row r="10" spans="1:4">
      <c r="A10" s="177"/>
      <c r="B10" s="29"/>
      <c r="C10" s="136" t="s">
        <v>13</v>
      </c>
      <c r="D10" s="137">
        <f>КАГ!$B$8</f>
        <v>45657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331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40" t="s">
        <v>526</v>
      </c>
      <c r="C15" s="121"/>
      <c r="D15" s="126">
        <v>1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40" t="s">
        <v>375</v>
      </c>
      <c r="C16" s="121" t="s">
        <v>406</v>
      </c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40" t="s">
        <v>514</v>
      </c>
      <c r="C17" s="166" t="s">
        <v>420</v>
      </c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41" t="s">
        <v>324</v>
      </c>
      <c r="C18" s="121" t="s">
        <v>455</v>
      </c>
      <c r="D18" s="126">
        <v>1</v>
      </c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40" t="s">
        <v>324</v>
      </c>
      <c r="C19" s="121" t="s">
        <v>473</v>
      </c>
      <c r="D19" s="126">
        <v>1</v>
      </c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0"/>
      <c r="C20" s="121"/>
      <c r="D20" s="128"/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54" sqref="C5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0</v>
      </c>
      <c r="M2" s="103">
        <f>IF(ISNUMBER(SEARCH('Карта учёта'!$B$19,Расходка[[#This Row],[Наименование расходного материала]])),MAX($M$1:M1)+1,0)</f>
        <v>0</v>
      </c>
      <c r="N2" s="2">
        <f>IF(ISNUMBER(SEARCH('Карта учёта'!$B$20,Расходка[[#This Row],[Наименование расходного материала]])),MAX($N$1:N1)+1,0)</f>
        <v>1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02" t="str">
        <f>IFERROR(INDEX(Расходка[Наименование расходного материала],MATCH(Расходка[[#This Row],[№]],Поиск_расходки[Индекс3],0)),"")</f>
        <v>Shunmei 0,7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>Колибри</v>
      </c>
      <c r="X2" s="102" t="str">
        <f>IFERROR(INDEX(Расходка[Наименование расходного материала],MATCH(Расходка[[#This Row],[№]],Поиск_расходки[Индекс7],0)),"")</f>
        <v>NC АКСИОМА</v>
      </c>
      <c r="Y2" s="102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02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02" t="str">
        <f>IFERROR(INDEX(Расходка[Наименование расходного материала],MATCH(Расходка[[#This Row],[№]],Поиск_расходки[Индекс10],0)),"")</f>
        <v>Hunter® 6F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0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0</v>
      </c>
      <c r="M3" s="103">
        <f>IF(ISNUMBER(SEARCH('Карта учёта'!$B$19,Расходка[[#This Row],[Наименование расходного материала]])),MAX($M$1:M2)+1,0)</f>
        <v>0</v>
      </c>
      <c r="N3" s="103">
        <f>IF(ISNUMBER(SEARCH('Карта учёта'!$B$20,Расходка[[#This Row],[Наименование расходного материала]])),MAX($N$1:N2)+1,0)</f>
        <v>2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/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02" t="str">
        <f>IFERROR(INDEX(Расходка[Наименование расходного материала],MATCH(Расходка[[#This Row],[№]],Поиск_расходки[Индекс7],0)),"")</f>
        <v/>
      </c>
      <c r="Y3" s="102" t="str">
        <f>IFERROR(INDEX(Расходка[Наименование расходного материала],MATCH(Расходка[[#This Row],[№]],Поиск_расходки[Индекс8],0)),"")</f>
        <v/>
      </c>
      <c r="Z3" s="102" t="str">
        <f>IFERROR(INDEX(Расходка[Наименование расходного материала],MATCH(Расходка[[#This Row],[№]],Поиск_расходки[Индекс9],0)),"")</f>
        <v/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0</v>
      </c>
      <c r="M4" s="103">
        <f>IF(ISNUMBER(SEARCH('Карта учёта'!$B$19,Расходка[[#This Row],[Наименование расходного материала]])),MAX($M$1:M3)+1,0)</f>
        <v>0</v>
      </c>
      <c r="N4" s="103">
        <f>IF(ISNUMBER(SEARCH('Карта учёта'!$B$20,Расходка[[#This Row],[Наименование расходного материала]])),MAX($N$1:N3)+1,0)</f>
        <v>3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/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/>
      </c>
      <c r="Z4" s="102" t="str">
        <f>IFERROR(INDEX(Расходка[Наименование расходного материала],MATCH(Расходка[[#This Row],[№]],Поиск_расходки[Индекс9],0)),"")</f>
        <v/>
      </c>
      <c r="AA4" s="102" t="str">
        <f>IFERROR(INDEX(Расходка[Наименование расходного материала],MATCH(Расходка[[#This Row],[№]],Поиск_расходки[Индекс10],0)),"")</f>
        <v>Euphora</v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0</v>
      </c>
      <c r="M5" s="103">
        <f>IF(ISNUMBER(SEARCH('Карта учёта'!$B$19,Расходка[[#This Row],[Наименование расходного материала]])),MAX($M$1:M4)+1,0)</f>
        <v>0</v>
      </c>
      <c r="N5" s="103">
        <f>IF(ISNUMBER(SEARCH('Карта учёта'!$B$20,Расходка[[#This Row],[Наименование расходного материала]])),MAX($N$1:N4)+1,0)</f>
        <v>4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/>
      </c>
      <c r="Z5" s="102" t="str">
        <f>IFERROR(INDEX(Расходка[Наименование расходного материала],MATCH(Расходка[[#This Row],[№]],Поиск_расходки[Индекс9],0)),"")</f>
        <v/>
      </c>
      <c r="AA5" s="102" t="str">
        <f>IFERROR(INDEX(Расходка[Наименование расходного материала],MATCH(Расходка[[#This Row],[№]],Поиск_расходки[Индекс10],0)),"")</f>
        <v>NC Accuforce</v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0</v>
      </c>
      <c r="M6" s="103">
        <f>IF(ISNUMBER(SEARCH('Карта учёта'!$B$19,Расходка[[#This Row],[Наименование расходного материала]])),MAX($M$1:M5)+1,0)</f>
        <v>0</v>
      </c>
      <c r="N6" s="103">
        <f>IF(ISNUMBER(SEARCH('Карта учёта'!$B$20,Расходка[[#This Row],[Наименование расходного материала]])),MAX($N$1:N5)+1,0)</f>
        <v>5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/>
      </c>
      <c r="Z6" s="102" t="str">
        <f>IFERROR(INDEX(Расходка[Наименование расходного материала],MATCH(Расходка[[#This Row],[№]],Поиск_расходки[Индекс9],0)),"")</f>
        <v/>
      </c>
      <c r="AA6" s="102" t="str">
        <f>IFERROR(INDEX(Расходка[Наименование расходного материала],MATCH(Расходка[[#This Row],[№]],Поиск_расходки[Индекс10],0)),"")</f>
        <v>NC Euphora</v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0</v>
      </c>
      <c r="M7" s="103">
        <f>IF(ISNUMBER(SEARCH('Карта учёта'!$B$19,Расходка[[#This Row],[Наименование расходного материала]])),MAX($M$1:M6)+1,0)</f>
        <v>0</v>
      </c>
      <c r="N7" s="103">
        <f>IF(ISNUMBER(SEARCH('Карта учёта'!$B$20,Расходка[[#This Row],[Наименование расходного материала]])),MAX($N$1:N6)+1,0)</f>
        <v>6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/>
      </c>
      <c r="Z7" s="102" t="str">
        <f>IFERROR(INDEX(Расходка[Наименование расходного материала],MATCH(Расходка[[#This Row],[№]],Поиск_расходки[Индекс9],0)),"")</f>
        <v/>
      </c>
      <c r="AA7" s="102" t="str">
        <f>IFERROR(INDEX(Расходка[Наименование расходного материала],MATCH(Расходка[[#This Row],[№]],Поиск_расходки[Индекс10],0)),"")</f>
        <v>Sapphire</v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0</v>
      </c>
      <c r="M8" s="103">
        <f>IF(ISNUMBER(SEARCH('Карта учёта'!$B$19,Расходка[[#This Row],[Наименование расходного материала]])),MAX($M$1:M7)+1,0)</f>
        <v>0</v>
      </c>
      <c r="N8" s="103">
        <f>IF(ISNUMBER(SEARCH('Карта учёта'!$B$20,Расходка[[#This Row],[Наименование расходного материала]])),MAX($N$1:N7)+1,0)</f>
        <v>7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/>
      </c>
      <c r="Z8" s="102" t="str">
        <f>IFERROR(INDEX(Расходка[Наименование расходного материала],MATCH(Расходка[[#This Row],[№]],Поиск_расходки[Индекс9],0)),"")</f>
        <v/>
      </c>
      <c r="AA8" s="102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0</v>
      </c>
      <c r="M9" s="103">
        <f>IF(ISNUMBER(SEARCH('Карта учёта'!$B$19,Расходка[[#This Row],[Наименование расходного материала]])),MAX($M$1:M8)+1,0)</f>
        <v>0</v>
      </c>
      <c r="N9" s="103">
        <f>IF(ISNUMBER(SEARCH('Карта учёта'!$B$20,Расходка[[#This Row],[Наименование расходного материала]])),MAX($N$1:N8)+1,0)</f>
        <v>8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/>
      </c>
      <c r="Z9" s="102" t="str">
        <f>IFERROR(INDEX(Расходка[Наименование расходного материала],MATCH(Расходка[[#This Row],[№]],Поиск_расходки[Индекс9],0)),"")</f>
        <v/>
      </c>
      <c r="AA9" s="102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1</v>
      </c>
      <c r="K10" s="103">
        <f>IF(ISNUMBER(SEARCH('Карта учёта'!$B$17,Расходка[[#This Row],[Наименование расходного материала]])),MAX($K$1:K9)+1,0)</f>
        <v>0</v>
      </c>
      <c r="L10" s="103">
        <f>IF(ISNUMBER(SEARCH('Карта учёта'!$B$18,Расходка[[#This Row],[Наименование расходного материала]])),MAX($L$1:L9)+1,0)</f>
        <v>0</v>
      </c>
      <c r="M10" s="103">
        <f>IF(ISNUMBER(SEARCH('Карта учёта'!$B$19,Расходка[[#This Row],[Наименование расходного материала]])),MAX($M$1:M9)+1,0)</f>
        <v>0</v>
      </c>
      <c r="N10" s="103">
        <f>IF(ISNUMBER(SEARCH('Карта учёта'!$B$20,Расходка[[#This Row],[Наименование расходного материала]])),MAX($N$1:N9)+1,0)</f>
        <v>9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/>
      </c>
      <c r="Z10" s="102" t="str">
        <f>IFERROR(INDEX(Расходка[Наименование расходного материала],MATCH(Расходка[[#This Row],[№]],Поиск_расходки[Индекс9],0)),"")</f>
        <v/>
      </c>
      <c r="AA10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2</v>
      </c>
      <c r="K11" s="103">
        <f>IF(ISNUMBER(SEARCH('Карта учёта'!$B$17,Расходка[[#This Row],[Наименование расходного материала]])),MAX($K$1:K10)+1,0)</f>
        <v>0</v>
      </c>
      <c r="L11" s="103">
        <f>IF(ISNUMBER(SEARCH('Карта учёта'!$B$18,Расходка[[#This Row],[Наименование расходного материала]])),MAX($L$1:L10)+1,0)</f>
        <v>0</v>
      </c>
      <c r="M11" s="103">
        <f>IF(ISNUMBER(SEARCH('Карта учёта'!$B$19,Расходка[[#This Row],[Наименование расходного материала]])),MAX($M$1:M10)+1,0)</f>
        <v>0</v>
      </c>
      <c r="N11" s="103">
        <f>IF(ISNUMBER(SEARCH('Карта учёта'!$B$20,Расходка[[#This Row],[Наименование расходного материала]])),MAX($N$1:N10)+1,0)</f>
        <v>10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/>
      </c>
      <c r="Z11" s="102" t="str">
        <f>IFERROR(INDEX(Расходка[Наименование расходного материала],MATCH(Расходка[[#This Row],[№]],Поиск_расходки[Индекс9],0)),"")</f>
        <v/>
      </c>
      <c r="AA11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1</v>
      </c>
      <c r="L12" s="103">
        <f>IF(ISNUMBER(SEARCH('Карта учёта'!$B$18,Расходка[[#This Row],[Наименование расходного материала]])),MAX($L$1:L11)+1,0)</f>
        <v>0</v>
      </c>
      <c r="M12" s="103">
        <f>IF(ISNUMBER(SEARCH('Карта учёта'!$B$19,Расходка[[#This Row],[Наименование расходного материала]])),MAX($M$1:M11)+1,0)</f>
        <v>0</v>
      </c>
      <c r="N12" s="103">
        <f>IF(ISNUMBER(SEARCH('Карта учёта'!$B$20,Расходка[[#This Row],[Наименование расходного материала]])),MAX($N$1:N11)+1,0)</f>
        <v>11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/>
      </c>
      <c r="Z12" s="102" t="str">
        <f>IFERROR(INDEX(Расходка[Наименование расходного материала],MATCH(Расходка[[#This Row],[№]],Поиск_расходки[Индекс9],0)),"")</f>
        <v/>
      </c>
      <c r="AA12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0</v>
      </c>
      <c r="M13" s="103">
        <f>IF(ISNUMBER(SEARCH('Карта учёта'!$B$19,Расходка[[#This Row],[Наименование расходного материала]])),MAX($M$1:M12)+1,0)</f>
        <v>0</v>
      </c>
      <c r="N13" s="103">
        <f>IF(ISNUMBER(SEARCH('Карта учёта'!$B$20,Расходка[[#This Row],[Наименование расходного материала]])),MAX($N$1:N12)+1,0)</f>
        <v>12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/>
      </c>
      <c r="Z13" s="102" t="str">
        <f>IFERROR(INDEX(Расходка[Наименование расходного материала],MATCH(Расходка[[#This Row],[№]],Поиск_расходки[Индекс9],0)),"")</f>
        <v/>
      </c>
      <c r="AA13" s="102" t="str">
        <f>IFERROR(INDEX(Расходка[Наименование расходного материала],MATCH(Расходка[[#This Row],[№]],Поиск_расходки[Индекс10],0)),"")</f>
        <v>Nitrex 260</v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524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0</v>
      </c>
      <c r="M14" s="103">
        <f>IF(ISNUMBER(SEARCH('Карта учёта'!$B$19,Расходка[[#This Row],[Наименование расходного материала]])),MAX($M$1:M13)+1,0)</f>
        <v>0</v>
      </c>
      <c r="N14" s="103">
        <f>IF(ISNUMBER(SEARCH('Карта учёта'!$B$20,Расходка[[#This Row],[Наименование расходного материала]])),MAX($N$1:N13)+1,0)</f>
        <v>13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/>
      </c>
      <c r="Z14" s="102" t="str">
        <f>IFERROR(INDEX(Расходка[Наименование расходного материала],MATCH(Расходка[[#This Row],[№]],Поиск_расходки[Индекс9],0)),"")</f>
        <v/>
      </c>
      <c r="AA14" s="102" t="str">
        <f>IFERROR(INDEX(Расходка[Наименование расходного материала],MATCH(Расходка[[#This Row],[№]],Поиск_расходки[Индекс10],0)),"")</f>
        <v>RadiFocus</v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0</v>
      </c>
      <c r="M15" s="103">
        <f>IF(ISNUMBER(SEARCH('Карта учёта'!$B$19,Расходка[[#This Row],[Наименование расходного материала]])),MAX($M$1:M14)+1,0)</f>
        <v>0</v>
      </c>
      <c r="N15" s="103">
        <f>IF(ISNUMBER(SEARCH('Карта учёта'!$B$20,Расходка[[#This Row],[Наименование расходного материала]])),MAX($N$1:N14)+1,0)</f>
        <v>14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/>
      </c>
      <c r="Z15" s="102" t="str">
        <f>IFERROR(INDEX(Расходка[Наименование расходного материала],MATCH(Расходка[[#This Row],[№]],Поиск_расходки[Индекс9],0)),"")</f>
        <v/>
      </c>
      <c r="AA15" s="102" t="str">
        <f>IFERROR(INDEX(Расходка[Наименование расходного материала],MATCH(Расходка[[#This Row],[№]],Поиск_расходки[Индекс10],0)),"")</f>
        <v>BasixCOMPAK</v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0</v>
      </c>
      <c r="M16" s="103">
        <f>IF(ISNUMBER(SEARCH('Карта учёта'!$B$19,Расходка[[#This Row],[Наименование расходного материала]])),MAX($M$1:M15)+1,0)</f>
        <v>0</v>
      </c>
      <c r="N16" s="103">
        <f>IF(ISNUMBER(SEARCH('Карта учёта'!$B$20,Расходка[[#This Row],[Наименование расходного материала]])),MAX($N$1:N15)+1,0)</f>
        <v>15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/>
      </c>
      <c r="Z16" s="102" t="str">
        <f>IFERROR(INDEX(Расходка[Наименование расходного материала],MATCH(Расходка[[#This Row],[№]],Поиск_расходки[Индекс9],0)),"")</f>
        <v/>
      </c>
      <c r="AA16" s="102" t="str">
        <f>IFERROR(INDEX(Расходка[Наименование расходного материала],MATCH(Расходка[[#This Row],[№]],Поиск_расходки[Индекс10],0)),"")</f>
        <v>BasixTOUCH</v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0</v>
      </c>
      <c r="M17" s="103">
        <f>IF(ISNUMBER(SEARCH('Карта учёта'!$B$19,Расходка[[#This Row],[Наименование расходного материала]])),MAX($M$1:M16)+1,0)</f>
        <v>0</v>
      </c>
      <c r="N17" s="103">
        <f>IF(ISNUMBER(SEARCH('Карта учёта'!$B$20,Расходка[[#This Row],[Наименование расходного материала]])),MAX($N$1:N16)+1,0)</f>
        <v>16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/>
      </c>
      <c r="Z17" s="102" t="str">
        <f>IFERROR(INDEX(Расходка[Наименование расходного материала],MATCH(Расходка[[#This Row],[№]],Поиск_расходки[Индекс9],0)),"")</f>
        <v/>
      </c>
      <c r="AA17" s="102" t="str">
        <f>IFERROR(INDEX(Расходка[Наименование расходного материала],MATCH(Расходка[[#This Row],[№]],Поиск_расходки[Индекс10],0)),"")</f>
        <v>Dolphin</v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0</v>
      </c>
      <c r="M18" s="103">
        <f>IF(ISNUMBER(SEARCH('Карта учёта'!$B$19,Расходка[[#This Row],[Наименование расходного материала]])),MAX($M$1:M17)+1,0)</f>
        <v>0</v>
      </c>
      <c r="N18" s="103">
        <f>IF(ISNUMBER(SEARCH('Карта учёта'!$B$20,Расходка[[#This Row],[Наименование расходного материала]])),MAX($N$1:N17)+1,0)</f>
        <v>17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/>
      </c>
      <c r="Z18" s="102" t="str">
        <f>IFERROR(INDEX(Расходка[Наименование расходного материала],MATCH(Расходка[[#This Row],[№]],Поиск_расходки[Индекс9],0)),"")</f>
        <v/>
      </c>
      <c r="AA18" s="102" t="str">
        <f>IFERROR(INDEX(Расходка[Наименование расходного материала],MATCH(Расходка[[#This Row],[№]],Поиск_расходки[Индекс10],0)),"")</f>
        <v>Lepu Medical</v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0</v>
      </c>
      <c r="M19" s="103">
        <f>IF(ISNUMBER(SEARCH('Карта учёта'!$B$19,Расходка[[#This Row],[Наименование расходного материала]])),MAX($M$1:M18)+1,0)</f>
        <v>0</v>
      </c>
      <c r="N19" s="103">
        <f>IF(ISNUMBER(SEARCH('Карта учёта'!$B$20,Расходка[[#This Row],[Наименование расходного материала]])),MAX($N$1:N18)+1,0)</f>
        <v>18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/>
      </c>
      <c r="Z19" s="102" t="str">
        <f>IFERROR(INDEX(Расходка[Наименование расходного материала],MATCH(Расходка[[#This Row],[№]],Поиск_расходки[Индекс9],0)),"")</f>
        <v/>
      </c>
      <c r="AA19" s="102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0</v>
      </c>
      <c r="M20" s="103">
        <f>IF(ISNUMBER(SEARCH('Карта учёта'!$B$19,Расходка[[#This Row],[Наименование расходного материала]])),MAX($M$1:M19)+1,0)</f>
        <v>0</v>
      </c>
      <c r="N20" s="103">
        <f>IF(ISNUMBER(SEARCH('Карта учёта'!$B$20,Расходка[[#This Row],[Наименование расходного материала]])),MAX($N$1:N19)+1,0)</f>
        <v>19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/>
      </c>
      <c r="Z20" s="102" t="str">
        <f>IFERROR(INDEX(Расходка[Наименование расходного материала],MATCH(Расходка[[#This Row],[№]],Поиск_расходки[Индекс9],0)),"")</f>
        <v/>
      </c>
      <c r="AA20" s="102" t="str">
        <f>IFERROR(INDEX(Расходка[Наименование расходного материала],MATCH(Расходка[[#This Row],[№]],Поиск_расходки[Индекс10],0)),"")</f>
        <v>Demax</v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0</v>
      </c>
      <c r="M21" s="103">
        <f>IF(ISNUMBER(SEARCH('Карта учёта'!$B$19,Расходка[[#This Row],[Наименование расходного материала]])),MAX($M$1:M20)+1,0)</f>
        <v>0</v>
      </c>
      <c r="N21" s="103">
        <f>IF(ISNUMBER(SEARCH('Карта учёта'!$B$20,Расходка[[#This Row],[Наименование расходного материала]])),MAX($N$1:N20)+1,0)</f>
        <v>20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/>
      </c>
      <c r="Z21" s="102" t="str">
        <f>IFERROR(INDEX(Расходка[Наименование расходного материала],MATCH(Расходка[[#This Row],[№]],Поиск_расходки[Индекс9],0)),"")</f>
        <v/>
      </c>
      <c r="AA21" s="102" t="str">
        <f>IFERROR(INDEX(Расходка[Наименование расходного материала],MATCH(Расходка[[#This Row],[№]],Поиск_расходки[Индекс10],0)),"")</f>
        <v>Oscor 7F</v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0</v>
      </c>
      <c r="M22" s="103">
        <f>IF(ISNUMBER(SEARCH('Карта учёта'!$B$19,Расходка[[#This Row],[Наименование расходного материала]])),MAX($M$1:M21)+1,0)</f>
        <v>0</v>
      </c>
      <c r="N22" s="103">
        <f>IF(ISNUMBER(SEARCH('Карта учёта'!$B$20,Расходка[[#This Row],[Наименование расходного материала]])),MAX($N$1:N21)+1,0)</f>
        <v>21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/>
      </c>
      <c r="Z22" s="102" t="str">
        <f>IFERROR(INDEX(Расходка[Наименование расходного материала],MATCH(Расходка[[#This Row],[№]],Поиск_расходки[Индекс9],0)),"")</f>
        <v/>
      </c>
      <c r="AA22" s="102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0</v>
      </c>
      <c r="M23" s="103">
        <f>IF(ISNUMBER(SEARCH('Карта учёта'!$B$19,Расходка[[#This Row],[Наименование расходного материала]])),MAX($M$1:M22)+1,0)</f>
        <v>0</v>
      </c>
      <c r="N23" s="103">
        <f>IF(ISNUMBER(SEARCH('Карта учёта'!$B$20,Расходка[[#This Row],[Наименование расходного материала]])),MAX($N$1:N22)+1,0)</f>
        <v>22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/>
      </c>
      <c r="Z23" s="102" t="str">
        <f>IFERROR(INDEX(Расходка[Наименование расходного материала],MATCH(Расходка[[#This Row],[№]],Поиск_расходки[Индекс9],0)),"")</f>
        <v/>
      </c>
      <c r="AA23" s="102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0</v>
      </c>
      <c r="M24" s="103">
        <f>IF(ISNUMBER(SEARCH('Карта учёта'!$B$19,Расходка[[#This Row],[Наименование расходного материала]])),MAX($M$1:M23)+1,0)</f>
        <v>0</v>
      </c>
      <c r="N24" s="103">
        <f>IF(ISNUMBER(SEARCH('Карта учёта'!$B$20,Расходка[[#This Row],[Наименование расходного материала]])),MAX($N$1:N23)+1,0)</f>
        <v>23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/>
      </c>
      <c r="Z24" s="102" t="str">
        <f>IFERROR(INDEX(Расходка[Наименование расходного материала],MATCH(Расходка[[#This Row],[№]],Поиск_расходки[Индекс9],0)),"")</f>
        <v/>
      </c>
      <c r="AA24" s="102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0</v>
      </c>
      <c r="M25" s="103">
        <f>IF(ISNUMBER(SEARCH('Карта учёта'!$B$19,Расходка[[#This Row],[Наименование расходного материала]])),MAX($M$1:M24)+1,0)</f>
        <v>0</v>
      </c>
      <c r="N25" s="103">
        <f>IF(ISNUMBER(SEARCH('Карта учёта'!$B$20,Расходка[[#This Row],[Наименование расходного материала]])),MAX($N$1:N24)+1,0)</f>
        <v>24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/>
      </c>
      <c r="Z25" s="102" t="str">
        <f>IFERROR(INDEX(Расходка[Наименование расходного материала],MATCH(Расходка[[#This Row],[№]],Поиск_расходки[Индекс9],0)),"")</f>
        <v/>
      </c>
      <c r="AA25" s="102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0</v>
      </c>
      <c r="M26" s="103">
        <f>IF(ISNUMBER(SEARCH('Карта учёта'!$B$19,Расходка[[#This Row],[Наименование расходного материала]])),MAX($M$1:M25)+1,0)</f>
        <v>0</v>
      </c>
      <c r="N26" s="103">
        <f>IF(ISNUMBER(SEARCH('Карта учёта'!$B$20,Расходка[[#This Row],[Наименование расходного материала]])),MAX($N$1:N25)+1,0)</f>
        <v>25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/>
      </c>
      <c r="Z26" s="102" t="str">
        <f>IFERROR(INDEX(Расходка[Наименование расходного материала],MATCH(Расходка[[#This Row],[№]],Поиск_расходки[Индекс9],0)),"")</f>
        <v/>
      </c>
      <c r="AA26" s="102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0</v>
      </c>
      <c r="M27" s="103">
        <f>IF(ISNUMBER(SEARCH('Карта учёта'!$B$19,Расходка[[#This Row],[Наименование расходного материала]])),MAX($M$1:M26)+1,0)</f>
        <v>0</v>
      </c>
      <c r="N27" s="103">
        <f>IF(ISNUMBER(SEARCH('Карта учёта'!$B$20,Расходка[[#This Row],[Наименование расходного материала]])),MAX($N$1:N26)+1,0)</f>
        <v>26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/>
      </c>
      <c r="Z27" s="102" t="str">
        <f>IFERROR(INDEX(Расходка[Наименование расходного материала],MATCH(Расходка[[#This Row],[№]],Поиск_расходки[Индекс9],0)),"")</f>
        <v/>
      </c>
      <c r="AA27" s="102" t="str">
        <f>IFERROR(INDEX(Расходка[Наименование расходного материала],MATCH(Расходка[[#This Row],[№]],Поиск_расходки[Индекс10],0)),"")</f>
        <v>Fielder</v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0</v>
      </c>
      <c r="M28" s="103">
        <f>IF(ISNUMBER(SEARCH('Карта учёта'!$B$19,Расходка[[#This Row],[Наименование расходного материала]])),MAX($M$1:M27)+1,0)</f>
        <v>0</v>
      </c>
      <c r="N28" s="103">
        <f>IF(ISNUMBER(SEARCH('Карта учёта'!$B$20,Расходка[[#This Row],[Наименование расходного материала]])),MAX($N$1:N27)+1,0)</f>
        <v>27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/>
      </c>
      <c r="Z28" s="102" t="str">
        <f>IFERROR(INDEX(Расходка[Наименование расходного материала],MATCH(Расходка[[#This Row],[№]],Поиск_расходки[Индекс9],0)),"")</f>
        <v/>
      </c>
      <c r="AA28" s="102" t="str">
        <f>IFERROR(INDEX(Расходка[Наименование расходного материала],MATCH(Расходка[[#This Row],[№]],Поиск_расходки[Индекс10],0)),"")</f>
        <v>Fielder XT-A</v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0</v>
      </c>
      <c r="M29" s="103">
        <f>IF(ISNUMBER(SEARCH('Карта учёта'!$B$19,Расходка[[#This Row],[Наименование расходного материала]])),MAX($M$1:M28)+1,0)</f>
        <v>0</v>
      </c>
      <c r="N29" s="103">
        <f>IF(ISNUMBER(SEARCH('Карта учёта'!$B$20,Расходка[[#This Row],[Наименование расходного материала]])),MAX($N$1:N28)+1,0)</f>
        <v>28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/>
      </c>
      <c r="Z29" s="102" t="str">
        <f>IFERROR(INDEX(Расходка[Наименование расходного материала],MATCH(Расходка[[#This Row],[№]],Поиск_расходки[Индекс9],0)),"")</f>
        <v/>
      </c>
      <c r="AA29" s="102" t="str">
        <f>IFERROR(INDEX(Расходка[Наименование расходного материала],MATCH(Расходка[[#This Row],[№]],Поиск_расходки[Индекс10],0)),"")</f>
        <v>Fielder XT-R</v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0</v>
      </c>
      <c r="M30" s="103">
        <f>IF(ISNUMBER(SEARCH('Карта учёта'!$B$19,Расходка[[#This Row],[Наименование расходного материала]])),MAX($M$1:M29)+1,0)</f>
        <v>0</v>
      </c>
      <c r="N30" s="103">
        <f>IF(ISNUMBER(SEARCH('Карта учёта'!$B$20,Расходка[[#This Row],[Наименование расходного материала]])),MAX($N$1:N29)+1,0)</f>
        <v>29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/>
      </c>
      <c r="Z30" s="102" t="str">
        <f>IFERROR(INDEX(Расходка[Наименование расходного материала],MATCH(Расходка[[#This Row],[№]],Поиск_расходки[Индекс9],0)),"")</f>
        <v/>
      </c>
      <c r="AA30" s="102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0</v>
      </c>
      <c r="M31" s="103">
        <f>IF(ISNUMBER(SEARCH('Карта учёта'!$B$19,Расходка[[#This Row],[Наименование расходного материала]])),MAX($M$1:M30)+1,0)</f>
        <v>0</v>
      </c>
      <c r="N31" s="103">
        <f>IF(ISNUMBER(SEARCH('Карта учёта'!$B$20,Расходка[[#This Row],[Наименование расходного материала]])),MAX($N$1:N30)+1,0)</f>
        <v>30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/>
      </c>
      <c r="Z31" s="102" t="str">
        <f>IFERROR(INDEX(Расходка[Наименование расходного материала],MATCH(Расходка[[#This Row],[№]],Поиск_расходки[Индекс9],0)),"")</f>
        <v/>
      </c>
      <c r="AA31" s="102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0</v>
      </c>
      <c r="M32" s="103">
        <f>IF(ISNUMBER(SEARCH('Карта учёта'!$B$19,Расходка[[#This Row],[Наименование расходного материала]])),MAX($M$1:M31)+1,0)</f>
        <v>0</v>
      </c>
      <c r="N32" s="103">
        <f>IF(ISNUMBER(SEARCH('Карта учёта'!$B$20,Расходка[[#This Row],[Наименование расходного материала]])),MAX($N$1:N31)+1,0)</f>
        <v>31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/>
      </c>
      <c r="Z32" s="102" t="str">
        <f>IFERROR(INDEX(Расходка[Наименование расходного материала],MATCH(Расходка[[#This Row],[№]],Поиск_расходки[Индекс9],0)),"")</f>
        <v/>
      </c>
      <c r="AA32" s="102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0</v>
      </c>
      <c r="M33" s="103">
        <f>IF(ISNUMBER(SEARCH('Карта учёта'!$B$19,Расходка[[#This Row],[Наименование расходного материала]])),MAX($M$1:M32)+1,0)</f>
        <v>0</v>
      </c>
      <c r="N33" s="103">
        <f>IF(ISNUMBER(SEARCH('Карта учёта'!$B$20,Расходка[[#This Row],[Наименование расходного материала]])),MAX($N$1:N32)+1,0)</f>
        <v>32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/>
      </c>
      <c r="Z33" s="102" t="str">
        <f>IFERROR(INDEX(Расходка[Наименование расходного материала],MATCH(Расходка[[#This Row],[№]],Поиск_расходки[Индекс9],0)),"")</f>
        <v/>
      </c>
      <c r="AA33" s="102" t="str">
        <f>IFERROR(INDEX(Расходка[Наименование расходного материала],MATCH(Расходка[[#This Row],[№]],Поиск_расходки[Индекс10],0)),"")</f>
        <v>Intuition</v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0</v>
      </c>
      <c r="M34" s="103">
        <f>IF(ISNUMBER(SEARCH('Карта учёта'!$B$19,Расходка[[#This Row],[Наименование расходного материала]])),MAX($M$1:M33)+1,0)</f>
        <v>0</v>
      </c>
      <c r="N34" s="103">
        <f>IF(ISNUMBER(SEARCH('Карта учёта'!$B$20,Расходка[[#This Row],[Наименование расходного материала]])),MAX($N$1:N33)+1,0)</f>
        <v>33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/>
      </c>
      <c r="Z34" s="102" t="str">
        <f>IFERROR(INDEX(Расходка[Наименование расходного материала],MATCH(Расходка[[#This Row],[№]],Поиск_расходки[Индекс9],0)),"")</f>
        <v/>
      </c>
      <c r="AA34" s="102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0</v>
      </c>
      <c r="M35" s="103">
        <f>IF(ISNUMBER(SEARCH('Карта учёта'!$B$19,Расходка[[#This Row],[Наименование расходного материала]])),MAX($M$1:M34)+1,0)</f>
        <v>0</v>
      </c>
      <c r="N35" s="103">
        <f>IF(ISNUMBER(SEARCH('Карта учёта'!$B$20,Расходка[[#This Row],[Наименование расходного материала]])),MAX($N$1:N34)+1,0)</f>
        <v>34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/>
      </c>
      <c r="Z35" s="102" t="str">
        <f>IFERROR(INDEX(Расходка[Наименование расходного материала],MATCH(Расходка[[#This Row],[№]],Поиск_расходки[Индекс9],0)),"")</f>
        <v/>
      </c>
      <c r="AA35" s="102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0</v>
      </c>
      <c r="M36" s="103">
        <f>IF(ISNUMBER(SEARCH('Карта учёта'!$B$19,Расходка[[#This Row],[Наименование расходного материала]])),MAX($M$1:M35)+1,0)</f>
        <v>0</v>
      </c>
      <c r="N36" s="103">
        <f>IF(ISNUMBER(SEARCH('Карта учёта'!$B$20,Расходка[[#This Row],[Наименование расходного материала]])),MAX($N$1:N35)+1,0)</f>
        <v>35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/>
      </c>
      <c r="Z36" s="102" t="str">
        <f>IFERROR(INDEX(Расходка[Наименование расходного материала],MATCH(Расходка[[#This Row],[№]],Поиск_расходки[Индекс9],0)),"")</f>
        <v/>
      </c>
      <c r="AA36" s="102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0</v>
      </c>
      <c r="M37" s="103">
        <f>IF(ISNUMBER(SEARCH('Карта учёта'!$B$19,Расходка[[#This Row],[Наименование расходного материала]])),MAX($M$1:M36)+1,0)</f>
        <v>0</v>
      </c>
      <c r="N37" s="103">
        <f>IF(ISNUMBER(SEARCH('Карта учёта'!$B$20,Расходка[[#This Row],[Наименование расходного материала]])),MAX($N$1:N36)+1,0)</f>
        <v>36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/>
      </c>
      <c r="Z37" s="102" t="str">
        <f>IFERROR(INDEX(Расходка[Наименование расходного материала],MATCH(Расходка[[#This Row],[№]],Поиск_расходки[Индекс9],0)),"")</f>
        <v/>
      </c>
      <c r="AA37" s="102" t="str">
        <f>IFERROR(INDEX(Расходка[Наименование расходного материала],MATCH(Расходка[[#This Row],[№]],Поиск_расходки[Индекс10],0)),"")</f>
        <v>Rinato</v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0</v>
      </c>
      <c r="M38" s="103">
        <f>IF(ISNUMBER(SEARCH('Карта учёта'!$B$19,Расходка[[#This Row],[Наименование расходного материала]])),MAX($M$1:M37)+1,0)</f>
        <v>0</v>
      </c>
      <c r="N38" s="103">
        <f>IF(ISNUMBER(SEARCH('Карта учёта'!$B$20,Расходка[[#This Row],[Наименование расходного материала]])),MAX($N$1:N37)+1,0)</f>
        <v>37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/>
      </c>
      <c r="Z38" s="102" t="str">
        <f>IFERROR(INDEX(Расходка[Наименование расходного материала],MATCH(Расходка[[#This Row],[№]],Поиск_расходки[Индекс9],0)),"")</f>
        <v/>
      </c>
      <c r="AA38" s="102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0</v>
      </c>
      <c r="M39" s="103">
        <f>IF(ISNUMBER(SEARCH('Карта учёта'!$B$19,Расходка[[#This Row],[Наименование расходного материала]])),MAX($M$1:M38)+1,0)</f>
        <v>0</v>
      </c>
      <c r="N39" s="103">
        <f>IF(ISNUMBER(SEARCH('Карта учёта'!$B$20,Расходка[[#This Row],[Наименование расходного материала]])),MAX($N$1:N38)+1,0)</f>
        <v>38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/>
      </c>
      <c r="Z39" s="102" t="str">
        <f>IFERROR(INDEX(Расходка[Наименование расходного материала],MATCH(Расходка[[#This Row],[№]],Поиск_расходки[Индекс9],0)),"")</f>
        <v/>
      </c>
      <c r="AA39" s="102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0</v>
      </c>
      <c r="M40" s="103">
        <f>IF(ISNUMBER(SEARCH('Карта учёта'!$B$19,Расходка[[#This Row],[Наименование расходного материала]])),MAX($M$1:M39)+1,0)</f>
        <v>0</v>
      </c>
      <c r="N40" s="103">
        <f>IF(ISNUMBER(SEARCH('Карта учёта'!$B$20,Расходка[[#This Row],[Наименование расходного материала]])),MAX($N$1:N39)+1,0)</f>
        <v>39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/>
      </c>
      <c r="Z40" s="102" t="str">
        <f>IFERROR(INDEX(Расходка[Наименование расходного материала],MATCH(Расходка[[#This Row],[№]],Поиск_расходки[Индекс9],0)),"")</f>
        <v/>
      </c>
      <c r="AA40" s="102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0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0</v>
      </c>
      <c r="M41" s="103">
        <f>IF(ISNUMBER(SEARCH('Карта учёта'!$B$19,Расходка[[#This Row],[Наименование расходного материала]])),MAX($M$1:M40)+1,0)</f>
        <v>0</v>
      </c>
      <c r="N41" s="103">
        <f>IF(ISNUMBER(SEARCH('Карта учёта'!$B$20,Расходка[[#This Row],[Наименование расходного материала]])),MAX($N$1:N40)+1,0)</f>
        <v>40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/>
      </c>
      <c r="Z41" s="102" t="str">
        <f>IFERROR(INDEX(Расходка[Наименование расходного материала],MATCH(Расходка[[#This Row],[№]],Поиск_расходки[Индекс9],0)),"")</f>
        <v/>
      </c>
      <c r="AA41" s="102" t="str">
        <f>IFERROR(INDEX(Расходка[Наименование расходного материала],MATCH(Расходка[[#This Row],[№]],Поиск_расходки[Индекс10],0)),"")</f>
        <v>Sion</v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0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0</v>
      </c>
      <c r="M42" s="103">
        <f>IF(ISNUMBER(SEARCH('Карта учёта'!$B$19,Расходка[[#This Row],[Наименование расходного материала]])),MAX($M$1:M41)+1,0)</f>
        <v>0</v>
      </c>
      <c r="N42" s="103">
        <f>IF(ISNUMBER(SEARCH('Карта учёта'!$B$20,Расходка[[#This Row],[Наименование расходного материала]])),MAX($N$1:N41)+1,0)</f>
        <v>41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/>
      </c>
      <c r="Z42" s="102" t="str">
        <f>IFERROR(INDEX(Расходка[Наименование расходного материала],MATCH(Расходка[[#This Row],[№]],Поиск_расходки[Индекс9],0)),"")</f>
        <v/>
      </c>
      <c r="AA42" s="102" t="str">
        <f>IFERROR(INDEX(Расходка[Наименование расходного материала],MATCH(Расходка[[#This Row],[№]],Поиск_расходки[Индекс10],0)),"")</f>
        <v>Sion Black</v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0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0</v>
      </c>
      <c r="M43" s="103">
        <f>IF(ISNUMBER(SEARCH('Карта учёта'!$B$19,Расходка[[#This Row],[Наименование расходного материала]])),MAX($M$1:M42)+1,0)</f>
        <v>0</v>
      </c>
      <c r="N43" s="103">
        <f>IF(ISNUMBER(SEARCH('Карта учёта'!$B$20,Расходка[[#This Row],[Наименование расходного материала]])),MAX($N$1:N42)+1,0)</f>
        <v>42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/>
      </c>
      <c r="Z43" s="102" t="str">
        <f>IFERROR(INDEX(Расходка[Наименование расходного материала],MATCH(Расходка[[#This Row],[№]],Поиск_расходки[Индекс9],0)),"")</f>
        <v/>
      </c>
      <c r="AA43" s="102" t="str">
        <f>IFERROR(INDEX(Расходка[Наименование расходного материала],MATCH(Расходка[[#This Row],[№]],Поиск_расходки[Индекс10],0)),"")</f>
        <v>Sion Blue</v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0</v>
      </c>
      <c r="M44" s="103">
        <f>IF(ISNUMBER(SEARCH('Карта учёта'!$B$19,Расходка[[#This Row],[Наименование расходного материала]])),MAX($M$1:M43)+1,0)</f>
        <v>0</v>
      </c>
      <c r="N44" s="103">
        <f>IF(ISNUMBER(SEARCH('Карта учёта'!$B$20,Расходка[[#This Row],[Наименование расходного материала]])),MAX($N$1:N43)+1,0)</f>
        <v>43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/>
      </c>
      <c r="Z44" s="102" t="str">
        <f>IFERROR(INDEX(Расходка[Наименование расходного материала],MATCH(Расходка[[#This Row],[№]],Поиск_расходки[Индекс9],0)),"")</f>
        <v/>
      </c>
      <c r="AA44" s="102" t="str">
        <f>IFERROR(INDEX(Расходка[Наименование расходного материала],MATCH(Расходка[[#This Row],[№]],Поиск_расходки[Индекс10],0)),"")</f>
        <v>Thunder</v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0</v>
      </c>
      <c r="M45" s="103">
        <f>IF(ISNUMBER(SEARCH('Карта учёта'!$B$19,Расходка[[#This Row],[Наименование расходного материала]])),MAX($M$1:M44)+1,0)</f>
        <v>0</v>
      </c>
      <c r="N45" s="103">
        <f>IF(ISNUMBER(SEARCH('Карта учёта'!$B$20,Расходка[[#This Row],[Наименование расходного материала]])),MAX($N$1:N44)+1,0)</f>
        <v>44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/>
      </c>
      <c r="Z45" s="102" t="str">
        <f>IFERROR(INDEX(Расходка[Наименование расходного материала],MATCH(Расходка[[#This Row],[№]],Поиск_расходки[Индекс9],0)),"")</f>
        <v/>
      </c>
      <c r="AA45" s="102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0</v>
      </c>
      <c r="M46" s="103">
        <f>IF(ISNUMBER(SEARCH('Карта учёта'!$B$19,Расходка[[#This Row],[Наименование расходного материала]])),MAX($M$1:M45)+1,0)</f>
        <v>0</v>
      </c>
      <c r="N46" s="103">
        <f>IF(ISNUMBER(SEARCH('Карта учёта'!$B$20,Расходка[[#This Row],[Наименование расходного материала]])),MAX($N$1:N45)+1,0)</f>
        <v>45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/>
      </c>
      <c r="Z46" s="102" t="str">
        <f>IFERROR(INDEX(Расходка[Наименование расходного материала],MATCH(Расходка[[#This Row],[№]],Поиск_расходки[Индекс9],0)),"")</f>
        <v/>
      </c>
      <c r="AA46" s="102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0</v>
      </c>
      <c r="M47" s="103">
        <f>IF(ISNUMBER(SEARCH('Карта учёта'!$B$19,Расходка[[#This Row],[Наименование расходного материала]])),MAX($M$1:M46)+1,0)</f>
        <v>0</v>
      </c>
      <c r="N47" s="103">
        <f>IF(ISNUMBER(SEARCH('Карта учёта'!$B$20,Расходка[[#This Row],[Наименование расходного материала]])),MAX($N$1:N46)+1,0)</f>
        <v>46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/>
      </c>
      <c r="Z47" s="102" t="str">
        <f>IFERROR(INDEX(Расходка[Наименование расходного материала],MATCH(Расходка[[#This Row],[№]],Поиск_расходки[Индекс9],0)),"")</f>
        <v/>
      </c>
      <c r="AA47" s="102" t="str">
        <f>IFERROR(INDEX(Расходка[Наименование расходного материала],MATCH(Расходка[[#This Row],[№]],Поиск_расходки[Индекс10],0)),"")</f>
        <v>Winn 200T</v>
      </c>
      <c r="AB47" s="102" t="str">
        <f>IFERROR(INDEX(Расходка[Наименование расходного материала],MATCH(Расходка[[#This Row],[№]],Поиск_расходки[Индекс11],0)),"")</f>
        <v>Winn 200T</v>
      </c>
      <c r="AC47" s="102" t="str">
        <f>IFERROR(INDEX(Расходка[Наименование расходного материала],MATCH(Расходка[[#This Row],[№]],Поиск_расходки[Индекс12],0)),"")</f>
        <v>Winn 200T</v>
      </c>
      <c r="AD47" s="102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0</v>
      </c>
      <c r="M48" s="103">
        <f>IF(ISNUMBER(SEARCH('Карта учёта'!$B$19,Расходка[[#This Row],[Наименование расходного материала]])),MAX($M$1:M47)+1,0)</f>
        <v>0</v>
      </c>
      <c r="N48" s="103">
        <f>IF(ISNUMBER(SEARCH('Карта учёта'!$B$20,Расходка[[#This Row],[Наименование расходного материала]])),MAX($N$1:N47)+1,0)</f>
        <v>47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/>
      </c>
      <c r="Z48" s="102" t="str">
        <f>IFERROR(INDEX(Расходка[Наименование расходного материала],MATCH(Расходка[[#This Row],[№]],Поиск_расходки[Индекс9],0)),"")</f>
        <v/>
      </c>
      <c r="AA48" s="102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510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0</v>
      </c>
      <c r="M49" s="103">
        <f>IF(ISNUMBER(SEARCH('Карта учёта'!$B$19,Расходка[[#This Row],[Наименование расходного материала]])),MAX($M$1:M48)+1,0)</f>
        <v>0</v>
      </c>
      <c r="N49" s="103">
        <f>IF(ISNUMBER(SEARCH('Карта учёта'!$B$20,Расходка[[#This Row],[Наименование расходного материала]])),MAX($N$1:N48)+1,0)</f>
        <v>48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/>
      </c>
      <c r="Z49" s="102" t="str">
        <f>IFERROR(INDEX(Расходка[Наименование расходного материала],MATCH(Расходка[[#This Row],[№]],Поиск_расходки[Индекс9],0)),"")</f>
        <v/>
      </c>
      <c r="AA49" s="102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0</v>
      </c>
      <c r="M50" s="103">
        <f>IF(ISNUMBER(SEARCH('Карта учёта'!$B$19,Расходка[[#This Row],[Наименование расходного материала]])),MAX($M$1:M49)+1,0)</f>
        <v>0</v>
      </c>
      <c r="N50" s="103">
        <f>IF(ISNUMBER(SEARCH('Карта учёта'!$B$20,Расходка[[#This Row],[Наименование расходного материала]])),MAX($N$1:N49)+1,0)</f>
        <v>49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/>
      </c>
      <c r="Z50" s="102" t="str">
        <f>IFERROR(INDEX(Расходка[Наименование расходного материала],MATCH(Расходка[[#This Row],[№]],Поиск_расходки[Индекс9],0)),"")</f>
        <v/>
      </c>
      <c r="AA50" s="102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0</v>
      </c>
      <c r="M51" s="103">
        <f>IF(ISNUMBER(SEARCH('Карта учёта'!$B$19,Расходка[[#This Row],[Наименование расходного материала]])),MAX($M$1:M50)+1,0)</f>
        <v>0</v>
      </c>
      <c r="N51" s="103">
        <f>IF(ISNUMBER(SEARCH('Карта учёта'!$B$20,Расходка[[#This Row],[Наименование расходного материала]])),MAX($N$1:N50)+1,0)</f>
        <v>50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/>
      </c>
      <c r="Z51" s="102" t="str">
        <f>IFERROR(INDEX(Расходка[Наименование расходного материала],MATCH(Расходка[[#This Row],[№]],Поиск_расходки[Индекс9],0)),"")</f>
        <v/>
      </c>
      <c r="AA51" s="102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525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0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0</v>
      </c>
      <c r="M52" s="103">
        <f>IF(ISNUMBER(SEARCH('Карта учёта'!$B$19,Расходка[[#This Row],[Наименование расходного материала]])),MAX($M$1:M51)+1,0)</f>
        <v>0</v>
      </c>
      <c r="N52" s="103">
        <f>IF(ISNUMBER(SEARCH('Карта учёта'!$B$20,Расходка[[#This Row],[Наименование расходного материала]])),MAX($N$1:N51)+1,0)</f>
        <v>51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/>
      </c>
      <c r="Z52" s="102" t="str">
        <f>IFERROR(INDEX(Расходка[Наименование расходного материала],MATCH(Расходка[[#This Row],[№]],Поиск_расходки[Индекс9],0)),"")</f>
        <v/>
      </c>
      <c r="AA52" s="102" t="str">
        <f>IFERROR(INDEX(Расходка[Наименование расходного материала],MATCH(Расходка[[#This Row],[№]],Поиск_расходки[Индекс10],0)),"")</f>
        <v>Shunmei 0,6</v>
      </c>
      <c r="AB52" s="102" t="str">
        <f>IFERROR(INDEX(Расходка[Наименование расходного материала],MATCH(Расходка[[#This Row],[№]],Поиск_расходки[Индекс11],0)),"")</f>
        <v>Shunmei 0,6</v>
      </c>
      <c r="AC52" s="102" t="str">
        <f>IFERROR(INDEX(Расходка[Наименование расходного материала],MATCH(Расходка[[#This Row],[№]],Поиск_расходки[Индекс12],0)),"")</f>
        <v>Shunmei 0,6</v>
      </c>
      <c r="AD52" s="102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526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1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0</v>
      </c>
      <c r="M53" s="103">
        <f>IF(ISNUMBER(SEARCH('Карта учёта'!$B$19,Расходка[[#This Row],[Наименование расходного материала]])),MAX($M$1:M52)+1,0)</f>
        <v>0</v>
      </c>
      <c r="N53" s="103">
        <f>IF(ISNUMBER(SEARCH('Карта учёта'!$B$20,Расходка[[#This Row],[Наименование расходного материала]])),MAX($N$1:N52)+1,0)</f>
        <v>52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/>
      </c>
      <c r="Z53" s="102" t="str">
        <f>IFERROR(INDEX(Расходка[Наименование расходного материала],MATCH(Расходка[[#This Row],[№]],Поиск_расходки[Индекс9],0)),"")</f>
        <v/>
      </c>
      <c r="AA53" s="102" t="str">
        <f>IFERROR(INDEX(Расходка[Наименование расходного материала],MATCH(Расходка[[#This Row],[№]],Поиск_расходки[Индекс10],0)),"")</f>
        <v>Shunmei 0,7</v>
      </c>
      <c r="AB53" s="102" t="str">
        <f>IFERROR(INDEX(Расходка[Наименование расходного материала],MATCH(Расходка[[#This Row],[№]],Поиск_расходки[Индекс11],0)),"")</f>
        <v>Shunmei 0,7</v>
      </c>
      <c r="AC53" s="102" t="str">
        <f>IFERROR(INDEX(Расходка[Наименование расходного материала],MATCH(Расходка[[#This Row],[№]],Поиск_расходки[Индекс12],0)),"")</f>
        <v>Shunmei 0,7</v>
      </c>
      <c r="AD53" s="102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522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0</v>
      </c>
      <c r="M54" s="103">
        <f>IF(ISNUMBER(SEARCH('Карта учёта'!$B$19,Расходка[[#This Row],[Наименование расходного материала]])),MAX($M$1:M53)+1,0)</f>
        <v>0</v>
      </c>
      <c r="N54" s="103">
        <f>IF(ISNUMBER(SEARCH('Карта учёта'!$B$20,Расходка[[#This Row],[Наименование расходного материала]])),MAX($N$1:N53)+1,0)</f>
        <v>53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/>
      </c>
      <c r="Z54" s="102" t="str">
        <f>IFERROR(INDEX(Расходка[Наименование расходного материала],MATCH(Расходка[[#This Row],[№]],Поиск_расходки[Индекс9],0)),"")</f>
        <v/>
      </c>
      <c r="AA54" s="102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523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0</v>
      </c>
      <c r="M55" s="103">
        <f>IF(ISNUMBER(SEARCH('Карта учёта'!$B$19,Расходка[[#This Row],[Наименование расходного материала]])),MAX($M$1:M54)+1,0)</f>
        <v>0</v>
      </c>
      <c r="N55" s="103">
        <f>IF(ISNUMBER(SEARCH('Карта учёта'!$B$20,Расходка[[#This Row],[Наименование расходного материала]])),MAX($N$1:N54)+1,0)</f>
        <v>54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/>
      </c>
      <c r="Z55" s="102" t="str">
        <f>IFERROR(INDEX(Расходка[Наименование расходного материала],MATCH(Расходка[[#This Row],[№]],Поиск_расходки[Индекс9],0)),"")</f>
        <v/>
      </c>
      <c r="AA55" s="102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0</v>
      </c>
      <c r="M56" s="103">
        <f>IF(ISNUMBER(SEARCH('Карта учёта'!$B$19,Расходка[[#This Row],[Наименование расходного материала]])),MAX($M$1:M55)+1,0)</f>
        <v>0</v>
      </c>
      <c r="N56" s="103">
        <f>IF(ISNUMBER(SEARCH('Карта учёта'!$B$20,Расходка[[#This Row],[Наименование расходного материала]])),MAX($N$1:N55)+1,0)</f>
        <v>55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/>
      </c>
      <c r="Z56" s="102" t="str">
        <f>IFERROR(INDEX(Расходка[Наименование расходного материала],MATCH(Расходка[[#This Row],[№]],Поиск_расходки[Индекс9],0)),"")</f>
        <v/>
      </c>
      <c r="AA56" s="102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43" t="s">
        <v>346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0</v>
      </c>
      <c r="M57" s="103">
        <f>IF(ISNUMBER(SEARCH('Карта учёта'!$B$19,Расходка[[#This Row],[Наименование расходного материала]])),MAX($M$1:M56)+1,0)</f>
        <v>0</v>
      </c>
      <c r="N57" s="103">
        <f>IF(ISNUMBER(SEARCH('Карта учёта'!$B$20,Расходка[[#This Row],[Наименование расходного материала]])),MAX($N$1:N56)+1,0)</f>
        <v>56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/>
      </c>
      <c r="Z57" s="102" t="str">
        <f>IFERROR(INDEX(Расходка[Наименование расходного материала],MATCH(Расходка[[#This Row],[№]],Поиск_расходки[Индекс9],0)),"")</f>
        <v/>
      </c>
      <c r="AA57" s="102" t="str">
        <f>IFERROR(INDEX(Расходка[Наименование расходного материала],MATCH(Расходка[[#This Row],[№]],Поиск_расходки[Индекс10],0)),"")</f>
        <v>DES, Calipso</v>
      </c>
      <c r="AB57" s="102" t="str">
        <f>IFERROR(INDEX(Расходка[Наименование расходного материала],MATCH(Расходка[[#This Row],[№]],Поиск_расходки[Индекс11],0)),"")</f>
        <v>DES, Calipso</v>
      </c>
      <c r="AC57" s="102" t="str">
        <f>IFERROR(INDEX(Расходка[Наименование расходного материала],MATCH(Расходка[[#This Row],[№]],Поиск_расходки[Индекс12],0)),"")</f>
        <v>DES, Calipso</v>
      </c>
      <c r="AD57" s="102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345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0</v>
      </c>
      <c r="M58" s="103">
        <f>IF(ISNUMBER(SEARCH('Карта учёта'!$B$19,Расходка[[#This Row],[Наименование расходного материала]])),MAX($M$1:M57)+1,0)</f>
        <v>0</v>
      </c>
      <c r="N58" s="103">
        <f>IF(ISNUMBER(SEARCH('Карта учёта'!$B$20,Расходка[[#This Row],[Наименование расходного материала]])),MAX($N$1:N57)+1,0)</f>
        <v>57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/>
      </c>
      <c r="Z58" s="102" t="str">
        <f>IFERROR(INDEX(Расходка[Наименование расходного материала],MATCH(Расходка[[#This Row],[№]],Поиск_расходки[Индекс9],0)),"")</f>
        <v/>
      </c>
      <c r="AA58" s="102" t="str">
        <f>IFERROR(INDEX(Расходка[Наименование расходного материала],MATCH(Расходка[[#This Row],[№]],Поиск_расходки[Индекс10],0)),"")</f>
        <v>DES, NanoMed</v>
      </c>
      <c r="AB58" s="102" t="str">
        <f>IFERROR(INDEX(Расходка[Наименование расходного материала],MATCH(Расходка[[#This Row],[№]],Поиск_расходки[Индекс11],0)),"")</f>
        <v>DES, NanoMed</v>
      </c>
      <c r="AC58" s="102" t="str">
        <f>IFERROR(INDEX(Расходка[Наименование расходного материала],MATCH(Расходка[[#This Row],[№]],Поиск_расходки[Индекс12],0)),"")</f>
        <v>DES, NanoMed</v>
      </c>
      <c r="AD58" s="102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16" t="s">
        <v>324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0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1</v>
      </c>
      <c r="M59" s="103">
        <f>IF(ISNUMBER(SEARCH('Карта учёта'!$B$19,Расходка[[#This Row],[Наименование расходного материала]])),MAX($M$1:M58)+1,0)</f>
        <v>1</v>
      </c>
      <c r="N59" s="103">
        <f>IF(ISNUMBER(SEARCH('Карта учёта'!$B$20,Расходка[[#This Row],[Наименование расходного материала]])),MAX($N$1:N58)+1,0)</f>
        <v>58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/>
      </c>
      <c r="Z59" s="102" t="str">
        <f>IFERROR(INDEX(Расходка[Наименование расходного материала],MATCH(Расходка[[#This Row],[№]],Поиск_расходки[Индекс9],0)),"")</f>
        <v/>
      </c>
      <c r="AA59" s="102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0</v>
      </c>
      <c r="M60" s="103">
        <f>IF(ISNUMBER(SEARCH('Карта учёта'!$B$19,Расходка[[#This Row],[Наименование расходного материала]])),MAX($M$1:M59)+1,0)</f>
        <v>0</v>
      </c>
      <c r="N60" s="103">
        <f>IF(ISNUMBER(SEARCH('Карта учёта'!$B$20,Расходка[[#This Row],[Наименование расходного материала]])),MAX($N$1:N59)+1,0)</f>
        <v>59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/>
      </c>
      <c r="Z60" s="102" t="str">
        <f>IFERROR(INDEX(Расходка[Наименование расходного материала],MATCH(Расходка[[#This Row],[№]],Поиск_расходки[Индекс9],0)),"")</f>
        <v/>
      </c>
      <c r="AA60" s="102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s="147" t="s">
        <v>386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0</v>
      </c>
      <c r="M61" s="103">
        <f>IF(ISNUMBER(SEARCH('Карта учёта'!$B$19,Расходка[[#This Row],[Наименование расходного материала]])),MAX($M$1:M60)+1,0)</f>
        <v>0</v>
      </c>
      <c r="N61" s="103">
        <f>IF(ISNUMBER(SEARCH('Карта учёта'!$B$20,Расходка[[#This Row],[Наименование расходного материала]])),MAX($N$1:N60)+1,0)</f>
        <v>60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/>
      </c>
      <c r="Z61" s="102" t="str">
        <f>IFERROR(INDEX(Расходка[Наименование расходного материала],MATCH(Расходка[[#This Row],[№]],Поиск_расходки[Индекс9],0)),"")</f>
        <v/>
      </c>
      <c r="AA61" s="102" t="str">
        <f>IFERROR(INDEX(Расходка[Наименование расходного материала],MATCH(Расходка[[#This Row],[№]],Поиск_расходки[Индекс10],0)),"")</f>
        <v>DES, Firehawk</v>
      </c>
      <c r="AB61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1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1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0</v>
      </c>
      <c r="M62" s="103">
        <f>IF(ISNUMBER(SEARCH('Карта учёта'!$B$19,Расходка[[#This Row],[Наименование расходного материала]])),MAX($M$1:M61)+1,0)</f>
        <v>0</v>
      </c>
      <c r="N62" s="103">
        <f>IF(ISNUMBER(SEARCH('Карта учёта'!$B$20,Расходка[[#This Row],[Наименование расходного материала]])),MAX($N$1:N61)+1,0)</f>
        <v>61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/>
      </c>
      <c r="Z62" s="102" t="str">
        <f>IFERROR(INDEX(Расходка[Наименование расходного материала],MATCH(Расходка[[#This Row],[№]],Поиск_расходки[Индекс9],0)),"")</f>
        <v/>
      </c>
      <c r="AA62" s="102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517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0</v>
      </c>
      <c r="M63" s="103">
        <f>IF(ISNUMBER(SEARCH('Карта учёта'!$B$19,Расходка[[#This Row],[Наименование расходного материала]])),MAX($M$1:M62)+1,0)</f>
        <v>0</v>
      </c>
      <c r="N63" s="103">
        <f>IF(ISNUMBER(SEARCH('Карта учёта'!$B$20,Расходка[[#This Row],[Наименование расходного материала]])),MAX($N$1:N62)+1,0)</f>
        <v>62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/>
      </c>
      <c r="Z63" s="102" t="str">
        <f>IFERROR(INDEX(Расходка[Наименование расходного материала],MATCH(Расходка[[#This Row],[№]],Поиск_расходки[Индекс9],0)),"")</f>
        <v/>
      </c>
      <c r="AA63" s="102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518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0</v>
      </c>
      <c r="M64" s="103">
        <f>IF(ISNUMBER(SEARCH('Карта учёта'!$B$19,Расходка[[#This Row],[Наименование расходного материала]])),MAX($M$1:M63)+1,0)</f>
        <v>0</v>
      </c>
      <c r="N64" s="103">
        <f>IF(ISNUMBER(SEARCH('Карта учёта'!$B$20,Расходка[[#This Row],[Наименование расходного материала]])),MAX($N$1:N63)+1,0)</f>
        <v>63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/>
      </c>
      <c r="Z64" s="102" t="str">
        <f>IFERROR(INDEX(Расходка[Наименование расходного материала],MATCH(Расходка[[#This Row],[№]],Поиск_расходки[Индекс9],0)),"")</f>
        <v/>
      </c>
      <c r="AA64" s="102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0</v>
      </c>
      <c r="L65" s="103">
        <f>IF(ISNUMBER(SEARCH('Карта учёта'!$B$18,Расходка[[#This Row],[Наименование расходного материала]])),MAX($L$1:L64)+1,0)</f>
        <v>0</v>
      </c>
      <c r="M65" s="103">
        <f>IF(ISNUMBER(SEARCH('Карта учёта'!$B$19,Расходка[[#This Row],[Наименование расходного материала]])),MAX($M$1:M64)+1,0)</f>
        <v>0</v>
      </c>
      <c r="N65" s="103">
        <f>IF(ISNUMBER(SEARCH('Карта учёта'!$B$20,Расходка[[#This Row],[Наименование расходного материала]])),MAX($N$1:N64)+1,0)</f>
        <v>64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/>
      </c>
      <c r="Z65" s="102" t="str">
        <f>IFERROR(INDEX(Расходка[Наименование расходного материала],MATCH(Расходка[[#This Row],[№]],Поиск_расходки[Индекс9],0)),"")</f>
        <v/>
      </c>
      <c r="AA65" s="102" t="str">
        <f>IFERROR(INDEX(Расходка[Наименование расходного материала],MATCH(Расходка[[#This Row],[№]],Поиск_расходки[Индекс10],0)),"")</f>
        <v>Guidezilla™ II 6F</v>
      </c>
      <c r="AB65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0</v>
      </c>
      <c r="M66" s="103">
        <f>IF(ISNUMBER(SEARCH('Карта учёта'!$B$19,Расходка[[#This Row],[Наименование расходного материала]])),MAX($M$1:M65)+1,0)</f>
        <v>0</v>
      </c>
      <c r="N66" s="103">
        <f>IF(ISNUMBER(SEARCH('Карта учёта'!$B$20,Расходка[[#This Row],[Наименование расходного материала]])),MAX($N$1:N65)+1,0)</f>
        <v>65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/>
      </c>
      <c r="Z66" s="102" t="str">
        <f>IFERROR(INDEX(Расходка[Наименование расходного материала],MATCH(Расходка[[#This Row],[№]],Поиск_расходки[Индекс9],0)),"")</f>
        <v/>
      </c>
      <c r="AA66" s="102" t="str">
        <f>IFERROR(INDEX(Расходка[Наименование расходного материала],MATCH(Расходка[[#This Row],[№]],Поиск_расходки[Индекс10],0)),"")</f>
        <v>Telescope ™ II 6F</v>
      </c>
      <c r="AB66" s="102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02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02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0</v>
      </c>
      <c r="M67" s="179">
        <f>IF(ISNUMBER(SEARCH('Карта учёта'!$B$19,Расходка[[#This Row],[Наименование расходного материала]])),MAX($M$1:M66)+1,0)</f>
        <v>0</v>
      </c>
      <c r="N67" s="179">
        <f>IF(ISNUMBER(SEARCH('Карта учёта'!$B$20,Расходка[[#This Row],[Наименование расходного материала]])),MAX($N$1:N66)+1,0)</f>
        <v>66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/>
      </c>
      <c r="Z67" s="180" t="str">
        <f>IFERROR(INDEX(Расходка[Наименование расходного материала],MATCH(Расходка[[#This Row],[№]],Поиск_расходки[Индекс9],0)),"")</f>
        <v/>
      </c>
      <c r="AA67" s="180" t="str">
        <f>IFERROR(INDEX(Расходка[Наименование расходного материала],MATCH(Расходка[[#This Row],[№]],Поиск_расходки[Индекс10],0)),"")</f>
        <v>Launcher 6F AL 1</v>
      </c>
      <c r="AB67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0</v>
      </c>
      <c r="M68" s="179">
        <f>IF(ISNUMBER(SEARCH('Карта учёта'!$B$19,Расходка[[#This Row],[Наименование расходного материала]])),MAX($M$1:M67)+1,0)</f>
        <v>0</v>
      </c>
      <c r="N68" s="179">
        <f>IF(ISNUMBER(SEARCH('Карта учёта'!$B$20,Расходка[[#This Row],[Наименование расходного материала]])),MAX($N$1:N67)+1,0)</f>
        <v>67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/>
      </c>
      <c r="Z68" s="180" t="str">
        <f>IFERROR(INDEX(Расходка[Наименование расходного материала],MATCH(Расходка[[#This Row],[№]],Поиск_расходки[Индекс9],0)),"")</f>
        <v/>
      </c>
      <c r="AA68" s="180" t="str">
        <f>IFERROR(INDEX(Расходка[Наименование расходного материала],MATCH(Расходка[[#This Row],[№]],Поиск_расходки[Индекс10],0)),"")</f>
        <v>Launcher 6F AL 2</v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0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0</v>
      </c>
      <c r="M69" s="179">
        <f>IF(ISNUMBER(SEARCH('Карта учёта'!$B$19,Расходка[[#This Row],[Наименование расходного материала]])),MAX($M$1:M68)+1,0)</f>
        <v>0</v>
      </c>
      <c r="N69" s="179">
        <f>IF(ISNUMBER(SEARCH('Карта учёта'!$B$20,Расходка[[#This Row],[Наименование расходного материала]])),MAX($N$1:N68)+1,0)</f>
        <v>68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/>
      </c>
      <c r="Z69" s="180" t="str">
        <f>IFERROR(INDEX(Расходка[Наименование расходного материала],MATCH(Расходка[[#This Row],[№]],Поиск_расходки[Индекс9],0)),"")</f>
        <v/>
      </c>
      <c r="AA69" s="180" t="str">
        <f>IFERROR(INDEX(Расходка[Наименование расходного материала],MATCH(Расходка[[#This Row],[№]],Поиск_расходки[Индекс10],0)),"")</f>
        <v>Launcher 6F EBU 3.5</v>
      </c>
      <c r="AB69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0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0</v>
      </c>
      <c r="M70" s="179">
        <f>IF(ISNUMBER(SEARCH('Карта учёта'!$B$19,Расходка[[#This Row],[Наименование расходного материала]])),MAX($M$1:M69)+1,0)</f>
        <v>0</v>
      </c>
      <c r="N70" s="179">
        <f>IF(ISNUMBER(SEARCH('Карта учёта'!$B$20,Расходка[[#This Row],[Наименование расходного материала]])),MAX($N$1:N69)+1,0)</f>
        <v>69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/>
      </c>
      <c r="Z70" s="180" t="str">
        <f>IFERROR(INDEX(Расходка[Наименование расходного материала],MATCH(Расходка[[#This Row],[№]],Поиск_расходки[Индекс9],0)),"")</f>
        <v/>
      </c>
      <c r="AA70" s="180" t="str">
        <f>IFERROR(INDEX(Расходка[Наименование расходного материала],MATCH(Расходка[[#This Row],[№]],Поиск_расходки[Индекс10],0)),"")</f>
        <v>Launcher 6F EBU 4.0</v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0</v>
      </c>
      <c r="M71" s="179">
        <f>IF(ISNUMBER(SEARCH('Карта учёта'!$B$19,Расходка[[#This Row],[Наименование расходного материала]])),MAX($M$1:M70)+1,0)</f>
        <v>0</v>
      </c>
      <c r="N71" s="179">
        <f>IF(ISNUMBER(SEARCH('Карта учёта'!$B$20,Расходка[[#This Row],[Наименование расходного материала]])),MAX($N$1:N70)+1,0)</f>
        <v>70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/>
      </c>
      <c r="Z71" s="180" t="str">
        <f>IFERROR(INDEX(Расходка[Наименование расходного материала],MATCH(Расходка[[#This Row],[№]],Поиск_расходки[Индекс9],0)),"")</f>
        <v/>
      </c>
      <c r="AA71" s="180" t="str">
        <f>IFERROR(INDEX(Расходка[Наименование расходного материала],MATCH(Расходка[[#This Row],[№]],Поиск_расходки[Индекс10],0)),"")</f>
        <v>Launcher 6F JL 3.5</v>
      </c>
      <c r="AB71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0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0</v>
      </c>
      <c r="M72" s="179">
        <f>IF(ISNUMBER(SEARCH('Карта учёта'!$B$19,Расходка[[#This Row],[Наименование расходного материала]])),MAX($M$1:M71)+1,0)</f>
        <v>0</v>
      </c>
      <c r="N72" s="179">
        <f>IF(ISNUMBER(SEARCH('Карта учёта'!$B$20,Расходка[[#This Row],[Наименование расходного материала]])),MAX($N$1:N71)+1,0)</f>
        <v>71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/>
      </c>
      <c r="Z72" s="180" t="str">
        <f>IFERROR(INDEX(Расходка[Наименование расходного материала],MATCH(Расходка[[#This Row],[№]],Поиск_расходки[Индекс9],0)),"")</f>
        <v/>
      </c>
      <c r="AA72" s="180" t="str">
        <f>IFERROR(INDEX(Расходка[Наименование расходного материала],MATCH(Расходка[[#This Row],[№]],Поиск_расходки[Индекс10],0)),"")</f>
        <v>Launcher 6F JL 4.0</v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0</v>
      </c>
      <c r="M73" s="179">
        <f>IF(ISNUMBER(SEARCH('Карта учёта'!$B$19,Расходка[[#This Row],[Наименование расходного материала]])),MAX($M$1:M72)+1,0)</f>
        <v>0</v>
      </c>
      <c r="N73" s="179">
        <f>IF(ISNUMBER(SEARCH('Карта учёта'!$B$20,Расходка[[#This Row],[Наименование расходного материала]])),MAX($N$1:N72)+1,0)</f>
        <v>72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/>
      </c>
      <c r="Z73" s="180" t="str">
        <f>IFERROR(INDEX(Расходка[Наименование расходного материала],MATCH(Расходка[[#This Row],[№]],Поиск_расходки[Индекс9],0)),"")</f>
        <v/>
      </c>
      <c r="AA73" s="180" t="str">
        <f>IFERROR(INDEX(Расходка[Наименование расходного материала],MATCH(Расходка[[#This Row],[№]],Поиск_расходки[Индекс10],0)),"")</f>
        <v>Launcher 6F JL 4.5</v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0</v>
      </c>
      <c r="M74" s="179">
        <f>IF(ISNUMBER(SEARCH('Карта учёта'!$B$19,Расходка[[#This Row],[Наименование расходного материала]])),MAX($M$1:M73)+1,0)</f>
        <v>0</v>
      </c>
      <c r="N74" s="179">
        <f>IF(ISNUMBER(SEARCH('Карта учёта'!$B$20,Расходка[[#This Row],[Наименование расходного материала]])),MAX($N$1:N73)+1,0)</f>
        <v>73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/>
      </c>
      <c r="Z74" s="180" t="str">
        <f>IFERROR(INDEX(Расходка[Наименование расходного материала],MATCH(Расходка[[#This Row],[№]],Поиск_расходки[Индекс9],0)),"")</f>
        <v/>
      </c>
      <c r="AA74" s="180" t="str">
        <f>IFERROR(INDEX(Расходка[Наименование расходного материала],MATCH(Расходка[[#This Row],[№]],Поиск_расходки[Индекс10],0)),"")</f>
        <v>Launcher 6F JR 3.5</v>
      </c>
      <c r="AB74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1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0</v>
      </c>
      <c r="M75" s="179">
        <f>IF(ISNUMBER(SEARCH('Карта учёта'!$B$19,Расходка[[#This Row],[Наименование расходного материала]])),MAX($M$1:M74)+1,0)</f>
        <v>0</v>
      </c>
      <c r="N75" s="179">
        <f>IF(ISNUMBER(SEARCH('Карта учёта'!$B$20,Расходка[[#This Row],[Наименование расходного материала]])),MAX($N$1:N74)+1,0)</f>
        <v>74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/>
      </c>
      <c r="Z75" s="180" t="str">
        <f>IFERROR(INDEX(Расходка[Наименование расходного материала],MATCH(Расходка[[#This Row],[№]],Поиск_расходки[Индекс9],0)),"")</f>
        <v/>
      </c>
      <c r="AA75" s="180" t="str">
        <f>IFERROR(INDEX(Расходка[Наименование расходного материала],MATCH(Расходка[[#This Row],[№]],Поиск_расходки[Индекс10],0)),"")</f>
        <v>Launcher 6F JR 4.0</v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0</v>
      </c>
      <c r="M76" s="179">
        <f>IF(ISNUMBER(SEARCH('Карта учёта'!$B$19,Расходка[[#This Row],[Наименование расходного материала]])),MAX($M$1:M75)+1,0)</f>
        <v>0</v>
      </c>
      <c r="N76" s="179">
        <f>IF(ISNUMBER(SEARCH('Карта учёта'!$B$20,Расходка[[#This Row],[Наименование расходного материала]])),MAX($N$1:N75)+1,0)</f>
        <v>75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/>
      </c>
      <c r="Z76" s="180" t="str">
        <f>IFERROR(INDEX(Расходка[Наименование расходного материала],MATCH(Расходка[[#This Row],[№]],Поиск_расходки[Индекс9],0)),"")</f>
        <v/>
      </c>
      <c r="AA76" s="180" t="str">
        <f>IFERROR(INDEX(Расходка[Наименование расходного материала],MATCH(Расходка[[#This Row],[№]],Поиск_расходки[Индекс10],0)),"")</f>
        <v>Launcher 7F JL 3.5</v>
      </c>
      <c r="AB76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0</v>
      </c>
      <c r="M77" s="179">
        <f>IF(ISNUMBER(SEARCH('Карта учёта'!$B$19,Расходка[[#This Row],[Наименование расходного материала]])),MAX($M$1:M76)+1,0)</f>
        <v>0</v>
      </c>
      <c r="N77" s="179">
        <f>IF(ISNUMBER(SEARCH('Карта учёта'!$B$20,Расходка[[#This Row],[Наименование расходного материала]])),MAX($N$1:N76)+1,0)</f>
        <v>76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/>
      </c>
      <c r="Z77" s="180" t="str">
        <f>IFERROR(INDEX(Расходка[Наименование расходного материала],MATCH(Расходка[[#This Row],[№]],Поиск_расходки[Индекс9],0)),"")</f>
        <v/>
      </c>
      <c r="AA77" s="180" t="str">
        <f>IFERROR(INDEX(Расходка[Наименование расходного материала],MATCH(Расходка[[#This Row],[№]],Поиск_расходки[Индекс10],0)),"")</f>
        <v>Launcher 7F JL 4.0</v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0</v>
      </c>
      <c r="M78" s="179">
        <f>IF(ISNUMBER(SEARCH('Карта учёта'!$B$19,Расходка[[#This Row],[Наименование расходного материала]])),MAX($M$1:M77)+1,0)</f>
        <v>0</v>
      </c>
      <c r="N78" s="179">
        <f>IF(ISNUMBER(SEARCH('Карта учёта'!$B$20,Расходка[[#This Row],[Наименование расходного материала]])),MAX($N$1:N77)+1,0)</f>
        <v>77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/>
      </c>
      <c r="Z78" s="180" t="str">
        <f>IFERROR(INDEX(Расходка[Наименование расходного материала],MATCH(Расходка[[#This Row],[№]],Поиск_расходки[Индекс9],0)),"")</f>
        <v/>
      </c>
      <c r="AA78" s="180" t="str">
        <f>IFERROR(INDEX(Расходка[Наименование расходного материала],MATCH(Расходка[[#This Row],[№]],Поиск_расходки[Индекс10],0)),"")</f>
        <v>Angio-Seal™ VIP</v>
      </c>
      <c r="AB78" s="180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80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80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2024-12-31T14:51:49Z</cp:lastPrinted>
  <dcterms:created xsi:type="dcterms:W3CDTF">2015-06-05T18:19:34Z</dcterms:created>
  <dcterms:modified xsi:type="dcterms:W3CDTF">2024-12-31T14:53:55Z</dcterms:modified>
</cp:coreProperties>
</file>