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1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49" i="1"/>
  <c r="X35" i="1"/>
  <c r="X22" i="1"/>
  <c r="X28" i="1"/>
  <c r="X63" i="1"/>
  <c r="X27" i="1"/>
  <c r="X58" i="1"/>
  <c r="X31" i="1"/>
  <c r="X21" i="1"/>
  <c r="X25" i="1"/>
  <c r="X19" i="1"/>
  <c r="X18" i="1"/>
  <c r="AC68" i="1"/>
  <c r="G74" i="1"/>
  <c r="G75" i="1" s="1"/>
  <c r="P74" i="1"/>
  <c r="N72" i="1"/>
  <c r="L67" i="1"/>
  <c r="M61" i="1"/>
  <c r="X36" i="1" l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<sst xmlns="http://schemas.openxmlformats.org/spreadsheetml/2006/main" count="892" uniqueCount="542">
  <si>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</si>
  <si>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</si>
  <si>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</si>
  <si>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</si>
  <si>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</si>
  <si>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</si>
  <si>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</si>
  <si>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</si>
  <si>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</si>
  <si>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</si>
  <si>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</si>
  <si>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</si>
  <si>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</si>
  <si>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</si>
  <si>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</si>
  <si>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</si>
  <si>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</si>
  <si>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</si>
  <si>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</si>
  <si>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</si>
  <si>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</si>
  <si>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</si>
  <si>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</si>
  <si>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</si>
  <si>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</si>
  <si>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</si>
  <si>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</si>
  <si>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</si>
  <si>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</si>
  <si>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</si>
  <si>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</si>
  <si>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</si>
  <si>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</si>
  <si>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</si>
  <si>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</si>
  <si>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</si>
  <si>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</si>
  <si>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</si>
  <si>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</si>
  <si>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</si>
  <si>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</si>
  <si>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</si>
  <si>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</si>
  <si>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</si>
  <si>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</si>
  <si>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</si>
  <si>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</si>
  <si>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</si>
  <si>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</si>
  <si>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</si>
  <si>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</si>
  <si>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</si>
  <si>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</si>
  <si>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</si>
  <si>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</si>
  <si>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</si>
  <si>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</si>
  <si>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</si>
  <si>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</si>
  <si>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</si>
  <si>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</si>
  <si>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</si>
  <si>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</si>
  <si>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</si>
  <si>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</si>
  <si>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</si>
  <si>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</si>
  <si>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</si>
  <si>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</si>
  <si>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</si>
  <si>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</si>
  <si>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</si>
  <si>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</si>
  <si>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</si>
  <si>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</si>
  <si>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</si>
  <si>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</si>
  <si>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</si>
  <si>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</si>
  <si>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</si>
  <si>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</si>
  <si>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</si>
  <si>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</si>
  <si>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</si>
  <si>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</si>
  <si>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</si>
  <si>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</si>
  <si>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</si>
  <si>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</si>
  <si>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</si>
  <si>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</si>
  <si>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</si>
  <si>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</si>
  <si>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</si>
  <si>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</si>
  <si>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</si>
  <si>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</si>
  <si>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</si>
  <si>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</si>
  <si>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</si>
  <si>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</si>
  <si>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</si>
  <si>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</si>
  <si>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</si>
  <si>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</si>
  <si>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</si>
  <si>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</si>
  <si>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</si>
  <si>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</si>
  <si>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</si>
  <si>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</si>
  <si>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</si>
  <si>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</si>
  <si>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</si>
  <si>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</si>
  <si>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</si>
  <si>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</si>
  <si>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</si>
  <si>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</si>
  <si>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</si>
  <si>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</si>
  <si>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</si>
  <si>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</si>
  <si>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</si>
  <si>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</si>
  <si>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</si>
  <si>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</si>
  <si>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</si>
  <si>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</si>
  <si>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</si>
  <si>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</si>
  <si>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</si>
  <si>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</si>
  <si>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</si>
  <si>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</si>
  <si>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</si>
  <si>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</si>
  <si>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</si>
  <si>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</si>
  <si>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</si>
  <si>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</si>
  <si>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</si>
  <si>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</si>
  <si>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</si>
  <si>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</si>
  <si>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</si>
  <si>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</si>
  <si>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</si>
  <si>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</si>
  <si>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</si>
  <si>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</si>
  <si>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</si>
  <si>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</si>
  <si>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</si>
  <si>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</si>
  <si>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</si>
  <si>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</si>
  <si>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</si>
  <si>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</si>
  <si>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</si>
  <si>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</si>
  <si>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</si>
  <si>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</si>
  <si>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</si>
  <si>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</si>
  <si>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</si>
  <si>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</si>
  <si>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</si>
  <si>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</si>
  <si>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</si>
  <si>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</si>
  <si>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</si>
  <si>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</si>
  <si>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</si>
  <si>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</si>
  <si>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</si>
  <si>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</si>
  <si>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</si>
  <si>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</si>
  <si>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</si>
  <si>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</si>
  <si>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</si>
  <si>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</si>
  <si>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</si>
  <si>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</si>
  <si>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</si>
  <si>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</si>
  <si>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</si>
  <si>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</si>
  <si>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</si>
  <si>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</si>
  <si>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</si>
  <si>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</si>
  <si>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</si>
  <si>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</si>
  <si>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</si>
  <si>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</si>
  <si>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</si>
  <si>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</si>
  <si>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</si>
  <si>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</si>
  <si>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</si>
  <si>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</si>
  <si>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</si>
  <si>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</si>
  <si>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</si>
  <si>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</si>
  <si>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</si>
  <si>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</si>
  <si>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</si>
  <si>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</si>
  <si>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</si>
  <si>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</si>
  <si>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</si>
  <si>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</si>
  <si>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</si>
  <si>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</si>
  <si>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</si>
  <si>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</si>
  <si>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</si>
  <si>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</si>
  <si>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</si>
  <si>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</si>
  <si>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</si>
  <si>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</si>
  <si>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</si>
  <si>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</si>
  <si>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</si>
  <si>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</si>
  <si>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</si>
  <si>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</si>
  <si>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</si>
  <si>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</si>
  <si>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</si>
  <si>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</si>
  <si>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</si>
  <si>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</si>
  <si>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</si>
  <si>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</si>
  <si>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</si>
  <si>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</si>
  <si>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</si>
  <si>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</si>
  <si>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</si>
  <si>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</si>
  <si>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</si>
  <si>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</si>
  <si>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</si>
  <si>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</si>
  <si>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</si>
  <si>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</si>
  <si>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</si>
  <si>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</si>
  <si>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</si>
  <si>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</si>
  <si>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</si>
  <si>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</si>
  <si>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</si>
  <si>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</si>
  <si>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</si>
  <si>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</si>
  <si>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</si>
  <si>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</si>
  <si>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</si>
  <si>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</si>
  <si>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</si>
  <si>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</si>
  <si>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</si>
  <si>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</si>
  <si>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</si>
  <si>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</si>
  <si>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</si>
  <si>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</si>
  <si>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</si>
  <si>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</si>
  <si>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</si>
  <si>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</si>
  <si>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</si>
  <si>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</si>
  <si>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</si>
  <si>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</si>
  <si>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</si>
  <si>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</si>
  <si>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</si>
  <si>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</si>
  <si>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</si>
  <si>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</si>
  <si>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</si>
  <si>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</si>
  <si>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</si>
  <si>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</si>
  <si>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</si>
  <si>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</si>
  <si>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</si>
  <si>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</si>
  <si>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</si>
  <si>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</si>
  <si>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</si>
  <si>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</si>
  <si>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</si>
  <si>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</si>
  <si>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</si>
  <si>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</si>
  <si>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</si>
  <si>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</si>
  <si>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</si>
  <si>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</si>
  <si>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</si>
  <si>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</si>
  <si>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</si>
  <si>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</si>
  <si>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</si>
  <si>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</si>
  <si>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</si>
  <si>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</si>
  <si>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</si>
  <si>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</si>
  <si>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</si>
  <si>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</si>
  <si>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</si>
  <si>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</si>
  <si>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</si>
  <si>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</si>
  <si>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</si>
  <si>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</si>
  <si>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</si>
  <si>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</si>
  <si>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</si>
  <si>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</si>
  <si>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</si>
  <si>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</si>
  <si>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</si>
  <si>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</si>
  <si>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</si>
  <si>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</si>
  <si>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</si>
  <si>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</si>
  <si>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</si>
  <si>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</si>
  <si>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</si>
  <si>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</si>
  <si>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</si>
  <si>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</si>
  <si>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</si>
  <si>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</si>
  <si>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</si>
  <si>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</si>
  <si>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</si>
  <si>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</si>
  <si>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</si>
  <si>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</si>
  <si>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</si>
  <si>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</si>
  <si>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</si>
  <si>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</si>
  <si>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</si>
  <si>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</si>
  <si>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</si>
  <si>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</si>
  <si>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</si>
  <si>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</si>
  <si>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</si>
  <si>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</si>
  <si>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</si>
  <si>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</si>
  <si>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</si>
  <si>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</si>
  <si>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</si>
  <si>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</si>
  <si>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</si>
  <si>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</si>
  <si>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</si>
  <si>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</si>
  <si>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</si>
  <si>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</si>
  <si>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</si>
  <si>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</si>
  <si>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</si>
  <si>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</si>
  <si>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</si>
  <si>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</si>
  <si>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</si>
  <si>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</si>
  <si>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</si>
  <si>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</si>
  <si>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</si>
  <si>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</si>
  <si>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</si>
  <si>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</si>
  <si>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</si>
  <si>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</si>
  <si>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</si>
  <si>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</si>
  <si>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</si>
  <si>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</si>
  <si>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</si>
  <si>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</si>
  <si>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</si>
  <si>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</si>
  <si>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</si>
  <si>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</si>
  <si>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</si>
  <si>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</si>
  <si>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</si>
  <si>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</si>
  <si>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</si>
  <si>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</si>
  <si>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</si>
  <si>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</si>
  <si>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</si>
  <si>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</si>
  <si>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</si>
  <si>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</si>
  <si>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</si>
  <si>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</si>
  <si>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</si>
  <si>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</si>
  <si>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</si>
  <si>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</si>
  <si>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</si>
  <si>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</si>
  <si>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</si>
  <si>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</si>
  <si>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</si>
  <si>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</si>
  <si>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</si>
  <si>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</si>
  <si>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</si>
  <si>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</si>
  <si>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</si>
  <si>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</si>
  <si>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</si>
  <si>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</si>
  <si>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</si>
  <si>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</si>
  <si>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</si>
  <si>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</si>
  <si>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</si>
  <si>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</si>
  <si>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</si>
  <si>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</si>
  <si>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</si>
  <si>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</si>
  <si>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</si>
  <si>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</si>
  <si>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</si>
  <si>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</si>
  <si>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</si>
  <si>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</si>
  <si>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</si>
  <si>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</si>
  <si>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</si>
  <si>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</si>
  <si>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</si>
  <si>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</si>
  <si>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</si>
  <si>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</si>
  <si>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</si>
  <si>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</si>
  <si>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</si>
  <si>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</si>
  <si>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</si>
  <si>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</si>
  <si>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</si>
  <si>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</si>
  <si>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</si>
  <si>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</si>
  <si>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</si>
  <si>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</si>
  <si>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</si>
  <si>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</si>
  <si>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</si>
  <si>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</si>
  <si>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</si>
  <si>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</si>
  <si>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</si>
  <si>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</si>
  <si>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</si>
  <si>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</si>
  <si>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</si>
  <si>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</si>
  <si>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</si>
  <si>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</si>
  <si>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</si>
  <si>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</si>
  <si>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</si>
  <si>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</si>
  <si>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</si>
  <si>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</si>
  <si>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</si>
  <si>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</si>
  <si>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</si>
  <si>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</si>
  <si>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</si>
  <si>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</si>
  <si>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</si>
  <si>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</si>
  <si>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</si>
  <si>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</si>
  <si>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</si>
  <si>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</si>
  <si>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</si>
  <si>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</si>
  <si>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</si>
  <si>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</si>
  <si>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</si>
  <si>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</si>
  <si>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</si>
  <si>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</si>
  <si>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</si>
  <si>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</si>
  <si>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</si>
  <si>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</si>
  <si>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</si>
  <si>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</si>
  <si>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</si>
  <si>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</si>
  <si>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</si>
  <si>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</si>
  <si>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</si>
  <si>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</si>
  <si>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</si>
  <si>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</si>
  <si>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</si>
  <si>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</si>
  <si>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</si>
  <si>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</si>
  <si>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</si>
  <si>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</si>
  <si>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</si>
  <si>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Правый</t>
  </si>
  <si>
    <t>08:48</t>
  </si>
  <si>
    <t>4530</t>
  </si>
  <si>
    <t>Новиков А.В.</t>
  </si>
  <si>
    <t>Вольхин М.В.</t>
  </si>
  <si>
    <t>неровности контуров</t>
  </si>
  <si>
    <t xml:space="preserve">стеноз проксимального сегмента не менее 50%, стеноз среднего сегмента до 40%.  Антеградный кровоток  - TIMI III. </t>
  </si>
  <si>
    <t xml:space="preserve">стенозы проксимального сегмента до 40% .Антеградный кровоток  - TIMI III. </t>
  </si>
  <si>
    <t>стеноз устья 70%, стеноз проксимального сегмента 90%, стеноз среднего сегмента 70%, неровности контуров дистального сегмента. Антеградный кровоток TIMI III.</t>
  </si>
  <si>
    <t>Совместно с д/кардиологом: с учетом клинических данных, ЭКГ и КАГ рекомендована реваскуляризация ПКА</t>
  </si>
  <si>
    <t>Устье ПКА катетеризировано проводниковым катетером Launcher JR 4.0 6Fr. Коронарный проводник shunmei (0/6) проведен в дистальный сегмент ПКА. Выполнено прямое стентирование.  В зону среднего и проксимального сегментов спокрытием устья ПКА и всех значимых стенозов последовательно с оверлаппингом имплантированы DES Resolute Integrity 2,75-30 мм, давлением 16 атм. и  DES Resolute Integrity 3,5-38 мм, давлением 16 атм.  На контрольных съемках стенты раскрыты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по ПКА   - TIMI III. Пациент транспортируется в ПРИТ для дальнейшего наблюдения и лечения.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</si>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</sst>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20" fontId="15" fillId="0" borderId="13" xfId="0" applyNumberFormat="1" applyFont="1" applyBorder="1" applyAlignment="1">
      <alignment horizontal="left" wrapText="1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46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showWhiteSpace="0" zoomScaleNormal="100" zoomScaleSheetLayoutView="100" zoomScalePageLayoutView="90" workbookViewId="0">
      <selection activeCell="I13" sqref="I13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9">
        <v>45649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0.80902777777777779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0.81597222222222221</v>
      </c>
      <c r="C10" s="51"/>
      <c r="D10" s="83" t="s">
        <v>173</v>
      </c>
      <c r="E10" s="81"/>
      <c r="F10" s="81"/>
      <c r="G10" s="22" t="s">
        <v>153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249</v>
      </c>
      <c r="H11" s="24"/>
    </row>
    <row r="12" spans="1:8" ht="16.5" thickTop="1">
      <c r="A12" s="72" t="s">
        <v>8</v>
      </c>
      <c r="B12" s="73">
        <v>27581</v>
      </c>
      <c r="C12" s="11"/>
      <c r="D12" s="83" t="s">
        <v>303</v>
      </c>
      <c r="E12" s="81"/>
      <c r="F12" s="81"/>
      <c r="G12" s="22" t="s">
        <v>534</v>
      </c>
      <c r="H12" s="24"/>
    </row>
    <row r="13" spans="1:8" ht="15.75">
      <c r="A13" s="14" t="s">
        <v>10</v>
      </c>
      <c r="B13" s="28">
        <f>DATEDIF(B12,B8,"y")</f>
        <v>49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36296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402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8.6069999999999993</v>
      </c>
    </row>
    <row r="18" spans="1:8" ht="14.45" customHeight="1">
      <c r="A18" s="198" t="s">
        <v>188</v>
      </c>
      <c r="B18" s="199" t="s">
        <v>530</v>
      </c>
      <c r="C18" s="204"/>
      <c r="D18" s="205" t="s">
        <v>210</v>
      </c>
      <c r="E18" s="205"/>
      <c r="F18" s="205"/>
      <c r="G18" s="201" t="s">
        <v>189</v>
      </c>
      <c r="H18" s="202" t="s">
        <v>529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535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536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537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538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539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204</v>
      </c>
      <c r="B51" s="55" t="s">
        <v>528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311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tabSelected="1" showWhiteSpace="0" topLeftCell="A6" zoomScaleNormal="100" zoomScaleSheetLayoutView="100" zoomScalePageLayoutView="90" workbookViewId="0">
      <selection activeCell="I36" sqref="I36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216</v>
      </c>
      <c r="D8" s="247"/>
      <c r="E8" s="247"/>
      <c r="F8" s="172">
        <v>2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2</v>
      </c>
      <c r="D11"/>
      <c r="E11"/>
      <c r="F11"/>
      <c r="G11"/>
      <c r="H11" s="35"/>
    </row>
    <row r="12" spans="1:8" ht="18.75">
      <c r="A12" s="67" t="s">
        <v>191</v>
      </c>
      <c r="B12" s="219">
        <f>КАГ!B8</f>
        <v>45649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0.81597222222222221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0.84027777777777779</v>
      </c>
      <c r="C14" s="11"/>
      <c r="D14" s="83" t="s">
        <v>173</v>
      </c>
      <c r="E14" s="81"/>
      <c r="F14" s="81"/>
      <c r="G14" s="71" t="str">
        <f>КАГ!G10</f>
        <v>Мелека Е.А.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2.430555555555558E-2</v>
      </c>
      <c r="C15"/>
      <c r="D15" s="83" t="s">
        <v>170</v>
      </c>
      <c r="E15" s="81"/>
      <c r="F15" s="81"/>
      <c r="G15" s="71" t="str">
        <f>КАГ!G11</f>
        <v>Равинская Я.А.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Новиков А.В.</v>
      </c>
      <c r="C16" s="182">
        <f>LEN(КАГ!B11)</f>
        <v>12</v>
      </c>
      <c r="D16" s="83" t="s">
        <v>303</v>
      </c>
      <c r="E16" s="81"/>
      <c r="F16" s="81"/>
      <c r="G16" s="71" t="str">
        <f>КАГ!G12</f>
        <v>Вольхин М.В.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27581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49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36296</v>
      </c>
      <c r="C19" s="61"/>
      <c r="D19" s="61"/>
      <c r="E19" s="61"/>
      <c r="F19" s="61"/>
      <c r="G19" s="150" t="s">
        <v>399</v>
      </c>
      <c r="H19" s="164" t="str">
        <f>КАГ!H15</f>
        <v>08:48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402</v>
      </c>
      <c r="H20" s="165" t="str">
        <f>КАГ!H16</f>
        <v>4530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8.6069999999999993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1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216" t="s">
        <v>391</v>
      </c>
      <c r="B23" s="217" t="s">
        <v>390</v>
      </c>
      <c r="C23" s="148"/>
      <c r="D23" s="148"/>
      <c r="E23" s="148"/>
      <c r="F23" s="148"/>
      <c r="G23" s="200"/>
      <c r="H23" s="218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20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522</v>
      </c>
      <c r="C40" s="107"/>
      <c r="D40" s="253" t="s">
        <v>400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204</v>
      </c>
      <c r="B50" s="55" t="s">
        <v>541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
Бассейн ПНА:   стеноз проксимального сегмента не менее 50%, стеноз среднего сегмента до 40%.  Антеградный кровоток  - TIMI III. 
Бассейн  ОА:   стенозы проксимального сегмента до 40% .Антеградный кровоток  - TIMI III. 
Бассейн ПКА:   стеноз устья 70%, стеноз проксимального сегмента 90%, стеноз среднего сегмента 70%, неровности контуров дистального сегмента. Антеградный кровоток TIMI III.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0" sqref="B20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45649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Новиков А.В.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27581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49</v>
      </c>
    </row>
    <row r="7" spans="1:4">
      <c r="A7" s="34"/>
      <c r="B7"/>
      <c r="C7" s="88" t="s">
        <v>12</v>
      </c>
      <c r="D7" s="90">
        <f>КАГ!$B$14</f>
        <v>36296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46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45649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331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40" t="s">
        <v>324</v>
      </c>
      <c r="C16" s="121" t="s">
        <v>454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40" t="s">
        <v>324</v>
      </c>
      <c r="C17" s="166" t="s">
        <v>474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41"/>
      <c r="C18" s="121"/>
      <c r="D18" s="126"/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517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1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02" t="str">
        <f>IFERROR(INDEX(Расходка[Наименование расходного материала],MATCH(Расходка[[#This Row],[№]],Поиск_расходки[Индекс3],0)),"")</f>
        <v>Shunmei 0,6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02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02" t="str">
        <f>IFERROR(INDEX(Расходка[Наименование расходного материала],MATCH(Расходка[[#This Row],[№]],Поиск_расходки[Индекс8],0)),"")</f>
        <v>Hunter® 6F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497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2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/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490</v>
      </c>
      <c r="AO3" t="s">
        <v>498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3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>Euphora</v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503</v>
      </c>
      <c r="AO4" t="s">
        <v>500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4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>NC Accuforce</v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5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>NC Euphora</v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6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>Sapphire</v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7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>Sprinter Legend</v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8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0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9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>Колибри</v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0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10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515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0</v>
      </c>
      <c r="L12" s="103">
        <f>IF(ISNUMBER(SEARCH('Карта учёта'!$B$18,Расходка[[#This Row],[Наименование расходного материала]])),MAX($L$1:L11)+1,0)</f>
        <v>11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12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>Nitrex 260</v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71">
        <v>254570</v>
      </c>
      <c r="AN13" s="2"/>
      <c r="AO13" t="s">
        <v>525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13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>RadiFocus</v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14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>BasixCOMPAK</v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15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>BasixTOUCH</v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16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>Dolphin</v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17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>Lepu Medical</v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18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19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>Demax</v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20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>Oscor 7F</v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508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21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510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22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23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24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25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26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>Fielder</v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27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>Fielder XT-A</v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28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>Fielder XT-R</v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512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29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513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30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514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31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32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>Intuition</v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33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34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35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36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>Rinato</v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37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38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39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40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>Sion</v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41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>Sion Black</v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42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>Sion Blue</v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43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>Thunder</v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520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44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521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45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46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>Winn 200T</v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47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511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48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49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509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50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526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1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51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>Shunmei 0,6</v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527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52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>Shunmei 0,7</v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523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53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>Pilot 150, 190 cm</v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524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54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>Pilot 150, 300 cm</v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55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>BMS, Integtity</v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56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>DES, Calipso</v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57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>DES, NanoMed</v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1</v>
      </c>
      <c r="K59" s="103">
        <f>IF(ISNUMBER(SEARCH('Карта учёта'!$B$17,Расходка[[#This Row],[Наименование расходного материала]])),MAX($K$1:K58)+1,0)</f>
        <v>1</v>
      </c>
      <c r="L59" s="103">
        <f>IF(ISNUMBER(SEARCH('Карта учёта'!$B$18,Расходка[[#This Row],[Наименование расходного материала]])),MAX($L$1:L58)+1,0)</f>
        <v>58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59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>DES, Yukon Chrome PC</v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60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>DES, Firehawk</v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61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>DES, Resolute Onyx</v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518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62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>DES, Калипсо</v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519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63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64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65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66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67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68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69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70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71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72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73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1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74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75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76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77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516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507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2024-12-23T17:31:49Z</cp:lastPrinted>
  <dcterms:created xsi:type="dcterms:W3CDTF">2015-06-05T18:19:34Z</dcterms:created>
  <dcterms:modified xsi:type="dcterms:W3CDTF">2024-12-23T17:31:55Z</dcterms:modified>
</cp:coreProperties>
</file>