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F79" i="1"/>
  <c r="F80" i="1"/>
  <c r="F81" i="1"/>
  <c r="F82" i="1"/>
  <c r="F83" i="1"/>
  <c r="G79" i="1"/>
  <c r="G80" i="1"/>
  <c r="G81" i="1"/>
  <c r="G82" i="1"/>
  <c r="G83" i="1"/>
  <c r="H79" i="1"/>
  <c r="H80" i="1"/>
  <c r="H81" i="1"/>
  <c r="H82" i="1"/>
  <c r="H83" i="1"/>
  <c r="I79" i="1"/>
  <c r="I80" i="1"/>
  <c r="I81" i="1"/>
  <c r="I82" i="1"/>
  <c r="I83" i="1"/>
  <c r="J79" i="1"/>
  <c r="J80" i="1"/>
  <c r="J81" i="1"/>
  <c r="J82" i="1"/>
  <c r="J83" i="1"/>
  <c r="K80" i="1"/>
  <c r="K81" i="1"/>
  <c r="K82" i="1"/>
  <c r="K83" i="1"/>
  <c r="L80" i="1"/>
  <c r="L81" i="1"/>
  <c r="L82" i="1"/>
  <c r="L83" i="1"/>
  <c r="M80" i="1"/>
  <c r="M81" i="1"/>
  <c r="M82" i="1"/>
  <c r="M83" i="1"/>
  <c r="N80" i="1"/>
  <c r="N81" i="1"/>
  <c r="N82" i="1"/>
  <c r="N83" i="1"/>
  <c r="O80" i="1"/>
  <c r="O81" i="1"/>
  <c r="O82" i="1"/>
  <c r="O83" i="1"/>
  <c r="P79" i="1"/>
  <c r="P80" i="1"/>
  <c r="P81" i="1"/>
  <c r="P82" i="1"/>
  <c r="P83" i="1"/>
  <c r="Q79" i="1"/>
  <c r="Q80" i="1"/>
  <c r="Q81" i="1"/>
  <c r="Q82" i="1"/>
  <c r="Q83" i="1"/>
  <c r="R79" i="1"/>
  <c r="R80" i="1"/>
  <c r="R81" i="1"/>
  <c r="R82" i="1"/>
  <c r="R83" i="1"/>
  <c r="S80" i="1"/>
  <c r="S81" i="1"/>
  <c r="S82" i="1"/>
  <c r="S83" i="1"/>
  <c r="T80" i="1"/>
  <c r="T81" i="1"/>
  <c r="T82" i="1"/>
  <c r="T83" i="1"/>
  <c r="U79" i="1"/>
  <c r="U80" i="1"/>
  <c r="U81" i="1"/>
  <c r="U82" i="1"/>
  <c r="U83" i="1"/>
  <c r="V79" i="1"/>
  <c r="V80" i="1"/>
  <c r="V81" i="1"/>
  <c r="V82" i="1"/>
  <c r="V83" i="1"/>
  <c r="W80" i="1"/>
  <c r="W81" i="1"/>
  <c r="W82" i="1"/>
  <c r="W83" i="1"/>
  <c r="X80" i="1"/>
  <c r="X81" i="1"/>
  <c r="X82" i="1"/>
  <c r="X83" i="1"/>
  <c r="Y80" i="1"/>
  <c r="Y81" i="1"/>
  <c r="Y82" i="1"/>
  <c r="Y83" i="1"/>
  <c r="Z80" i="1"/>
  <c r="Z81" i="1"/>
  <c r="Z82" i="1"/>
  <c r="Z83" i="1"/>
  <c r="AA80" i="1"/>
  <c r="AA81" i="1"/>
  <c r="AA82" i="1"/>
  <c r="AA83" i="1"/>
  <c r="AB80" i="1"/>
  <c r="AB81" i="1"/>
  <c r="AB82" i="1"/>
  <c r="AB83" i="1"/>
  <c r="AC79" i="1"/>
  <c r="AC80" i="1"/>
  <c r="AC81" i="1"/>
  <c r="AC82" i="1"/>
  <c r="AC83" i="1"/>
  <c r="AD79" i="1"/>
  <c r="AD80" i="1"/>
  <c r="AD81" i="1"/>
  <c r="AD82" i="1"/>
  <c r="AD83" i="1"/>
  <c r="A65" i="1"/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O75" i="1" s="1"/>
  <c r="Q76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O76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AC16" i="1"/>
  <c r="M36" i="1"/>
  <c r="AC22" i="1"/>
  <c r="O78" i="1" l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K51" i="1"/>
  <c r="G50" i="1"/>
  <c r="AD38" i="1"/>
  <c r="N44" i="1"/>
  <c r="AB43" i="1"/>
  <c r="L38" i="1"/>
  <c r="L39" i="1" s="1"/>
  <c r="AB33" i="1"/>
  <c r="M37" i="1"/>
  <c r="AB65" i="1" l="1"/>
  <c r="O79" i="1"/>
  <c r="AB76" i="1"/>
  <c r="AB6" i="1"/>
  <c r="AB63" i="1"/>
  <c r="AB74" i="1"/>
  <c r="AB4" i="1"/>
  <c r="AB57" i="1"/>
  <c r="AB68" i="1"/>
  <c r="AB75" i="1"/>
  <c r="AB5" i="1"/>
  <c r="AB64" i="1"/>
  <c r="AB39" i="1"/>
  <c r="AB41" i="1"/>
  <c r="AB30" i="1"/>
  <c r="AB71" i="1"/>
  <c r="AB61" i="1"/>
  <c r="AB56" i="1"/>
  <c r="AB25" i="1"/>
  <c r="AB21" i="1"/>
  <c r="AB40" i="1"/>
  <c r="AB13" i="1"/>
  <c r="AB78" i="1"/>
  <c r="AB79" i="1"/>
  <c r="AB62" i="1"/>
  <c r="AB16" i="1"/>
  <c r="AB58" i="1"/>
  <c r="AB22" i="1"/>
  <c r="AB34" i="1"/>
  <c r="AB59" i="1"/>
  <c r="AB37" i="1"/>
  <c r="AB19" i="1"/>
  <c r="AB60" i="1"/>
  <c r="AB67" i="1"/>
  <c r="AB17" i="1"/>
  <c r="AB31" i="1"/>
  <c r="AB18" i="1"/>
  <c r="AB36" i="1"/>
  <c r="AB42" i="1"/>
  <c r="AB66" i="1"/>
  <c r="AB15" i="1"/>
  <c r="AB29" i="1"/>
  <c r="AB7" i="1"/>
  <c r="AB32" i="1"/>
  <c r="AB70" i="1"/>
  <c r="AB26" i="1"/>
  <c r="AB72" i="1"/>
  <c r="AB69" i="1"/>
  <c r="AB73" i="1"/>
  <c r="AB77" i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66" i="1" l="1"/>
  <c r="S79" i="1"/>
  <c r="S3" i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38" i="1" l="1"/>
  <c r="U15" i="1"/>
  <c r="U18" i="1"/>
  <c r="U32" i="1"/>
  <c r="U17" i="1"/>
  <c r="U13" i="1"/>
  <c r="U7" i="1"/>
  <c r="U20" i="1"/>
  <c r="U24" i="1"/>
  <c r="U30" i="1"/>
  <c r="U12" i="1"/>
  <c r="U31" i="1"/>
  <c r="U5" i="1"/>
  <c r="U8" i="1"/>
  <c r="U28" i="1"/>
  <c r="U6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W79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68" i="1"/>
  <c r="V72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3" i="1" l="1"/>
  <c r="V9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K79" i="1" s="1"/>
  <c r="X25" i="1" s="1"/>
  <c r="X21" i="1"/>
  <c r="AC68" i="1"/>
  <c r="G74" i="1"/>
  <c r="G75" i="1" s="1"/>
  <c r="P74" i="1"/>
  <c r="N72" i="1"/>
  <c r="L67" i="1"/>
  <c r="M61" i="1"/>
  <c r="X63" i="1" l="1"/>
  <c r="X18" i="1"/>
  <c r="X31" i="1"/>
  <c r="X28" i="1"/>
  <c r="X58" i="1"/>
  <c r="X22" i="1"/>
  <c r="X19" i="1"/>
  <c r="X27" i="1"/>
  <c r="X35" i="1"/>
  <c r="X20" i="1"/>
  <c r="X79" i="1"/>
  <c r="X49" i="1"/>
  <c r="X2" i="1"/>
  <c r="X36" i="1"/>
  <c r="X75" i="1"/>
  <c r="X46" i="1"/>
  <c r="X15" i="1"/>
  <c r="X17" i="1"/>
  <c r="N73" i="1"/>
  <c r="N74" i="1" s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P76" i="1"/>
  <c r="N75" i="1"/>
  <c r="L69" i="1"/>
  <c r="M63" i="1"/>
  <c r="M64" i="1" s="1"/>
  <c r="M65" i="1" s="1"/>
  <c r="M66" i="1" s="1"/>
  <c r="T3" i="1" l="1"/>
  <c r="T79" i="1"/>
  <c r="T77" i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N79" i="1" s="1"/>
  <c r="AA79" i="1" s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M72" i="1"/>
  <c r="L79" i="1" l="1"/>
  <c r="Y2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Y78" i="1" l="1"/>
  <c r="Y12" i="1"/>
  <c r="Y58" i="1"/>
  <c r="Y42" i="1"/>
  <c r="Y16" i="1"/>
  <c r="Y44" i="1"/>
  <c r="Y7" i="1"/>
  <c r="Y24" i="1"/>
  <c r="Y38" i="1"/>
  <c r="Y26" i="1"/>
  <c r="Y18" i="1"/>
  <c r="Y50" i="1"/>
  <c r="Y19" i="1"/>
  <c r="Y21" i="1"/>
  <c r="Y29" i="1"/>
  <c r="Y33" i="1"/>
  <c r="Y39" i="1"/>
  <c r="Y54" i="1"/>
  <c r="Y5" i="1"/>
  <c r="Y13" i="1"/>
  <c r="Y37" i="1"/>
  <c r="Y28" i="1"/>
  <c r="Y32" i="1"/>
  <c r="Y53" i="1"/>
  <c r="Y22" i="1"/>
  <c r="Y6" i="1"/>
  <c r="Y31" i="1"/>
  <c r="Y61" i="1"/>
  <c r="Y57" i="1"/>
  <c r="Y23" i="1"/>
  <c r="Y75" i="1"/>
  <c r="Y64" i="1"/>
  <c r="Y65" i="1"/>
  <c r="Y73" i="1"/>
  <c r="Y69" i="1"/>
  <c r="Y72" i="1"/>
  <c r="Y70" i="1"/>
  <c r="Y79" i="1"/>
  <c r="M74" i="1"/>
  <c r="M75" i="1" s="1"/>
  <c r="M76" i="1" l="1"/>
  <c r="M77" i="1" l="1"/>
  <c r="M78" i="1" l="1"/>
  <c r="M79" i="1" s="1"/>
  <c r="Z78" i="1" l="1"/>
  <c r="Z79" i="1"/>
  <c r="Z2" i="1"/>
  <c r="Z75" i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<sst xmlns="http://schemas.openxmlformats.org/spreadsheetml/2006/main" count="902" uniqueCount="542">
  <si>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</si>
  <si>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</si>
  <si>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</si>
  <si>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</si>
  <si>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</si>
  <si>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</si>
  <si>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</si>
  <si>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</si>
  <si>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</si>
  <si>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</si>
  <si>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</si>
  <si>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</si>
  <si>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</si>
  <si>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</si>
  <si>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</si>
  <si>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</si>
  <si>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</si>
  <si>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</si>
  <si>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</si>
  <si>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</si>
  <si>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</si>
  <si>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</si>
  <si>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</si>
  <si>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</si>
  <si>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</si>
  <si>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</si>
  <si>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</si>
  <si>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</si>
  <si>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</si>
  <si>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</si>
  <si>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</si>
  <si>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</si>
  <si>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</si>
  <si>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</si>
  <si>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</si>
  <si>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</si>
  <si>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</si>
  <si>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</si>
  <si>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</si>
  <si>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</si>
  <si>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</si>
  <si>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</si>
  <si>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</si>
  <si>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</si>
  <si>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</si>
  <si>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</si>
  <si>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</si>
  <si>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</si>
  <si>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</si>
  <si>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</si>
  <si>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</si>
  <si>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</si>
  <si>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</si>
  <si>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</si>
  <si>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</si>
  <si>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</si>
  <si>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</si>
  <si>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</si>
  <si>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</si>
  <si>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</si>
  <si>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</si>
  <si>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</si>
  <si>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</si>
  <si>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</si>
  <si>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</si>
  <si>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</si>
  <si>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</si>
  <si>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</si>
  <si>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</si>
  <si>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</si>
  <si>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</si>
  <si>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</si>
  <si>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</si>
  <si>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</si>
  <si>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</si>
  <si>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</si>
  <si>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</si>
  <si>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</si>
  <si>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</si>
  <si>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</si>
  <si>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</si>
  <si>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</si>
  <si>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</si>
  <si>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</si>
  <si>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</si>
  <si>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</si>
  <si>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</si>
  <si>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</si>
  <si>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</si>
  <si>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</si>
  <si>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</si>
  <si>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</si>
  <si>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</si>
  <si>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</si>
  <si>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</si>
  <si>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</si>
  <si>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</si>
  <si>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</si>
  <si>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</si>
  <si>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</si>
  <si>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</si>
  <si>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</si>
  <si>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</si>
  <si>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</si>
  <si>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</si>
  <si>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</si>
  <si>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</si>
  <si>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</si>
  <si>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</si>
  <si>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</si>
  <si>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</si>
  <si>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</si>
  <si>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</si>
  <si>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</si>
  <si>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</si>
  <si>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</si>
  <si>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</si>
  <si>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</si>
  <si>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</si>
  <si>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</si>
  <si>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</si>
  <si>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</si>
  <si>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</si>
  <si>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</si>
  <si>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</si>
  <si>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</si>
  <si>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</si>
  <si>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</si>
  <si>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</si>
  <si>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</si>
  <si>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</si>
  <si>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</si>
  <si>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</si>
  <si>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</si>
  <si>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</si>
  <si>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</si>
  <si>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</si>
  <si>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</si>
  <si>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</si>
  <si>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</si>
  <si>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</si>
  <si>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</si>
  <si>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</si>
  <si>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</si>
  <si>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</si>
  <si>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</si>
  <si>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</si>
  <si>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</si>
  <si>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</si>
  <si>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</si>
  <si>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</si>
  <si>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</si>
  <si>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</si>
  <si>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</si>
  <si>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</si>
  <si>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</si>
  <si>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</si>
  <si>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</si>
  <si>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</si>
  <si>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</si>
  <si>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</si>
  <si>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</si>
  <si>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</si>
  <si>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</si>
  <si>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</si>
  <si>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</si>
  <si>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</si>
  <si>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</si>
  <si>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</si>
  <si>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</si>
  <si>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</si>
  <si>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</si>
  <si>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</si>
  <si>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</si>
  <si>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</si>
  <si>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</si>
  <si>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</si>
  <si>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</si>
  <si>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</si>
  <si>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</si>
  <si>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</si>
  <si>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</si>
  <si>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</si>
  <si>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</si>
  <si>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</si>
  <si>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</si>
  <si>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</si>
  <si>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</si>
  <si>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</si>
  <si>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</si>
  <si>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</si>
  <si>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</si>
  <si>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</si>
  <si>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</si>
  <si>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</si>
  <si>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</si>
  <si>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</si>
  <si>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</si>
  <si>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</si>
  <si>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</si>
  <si>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</si>
  <si>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</si>
  <si>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</si>
  <si>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</si>
  <si>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</si>
  <si>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</si>
  <si>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</si>
  <si>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</si>
  <si>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</si>
  <si>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</si>
  <si>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</si>
  <si>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</si>
  <si>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</si>
  <si>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</si>
  <si>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</si>
  <si>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</si>
  <si>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</si>
  <si>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</si>
  <si>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</si>
  <si>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</si>
  <si>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</si>
  <si>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</si>
  <si>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</si>
  <si>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</si>
  <si>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</si>
  <si>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</si>
  <si>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</si>
  <si>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</si>
  <si>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</si>
  <si>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</si>
  <si>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</si>
  <si>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</si>
  <si>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</si>
  <si>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</si>
  <si>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</si>
  <si>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</si>
  <si>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</si>
  <si>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</si>
  <si>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</si>
  <si>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</si>
  <si>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</si>
  <si>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</si>
  <si>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</si>
  <si>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</si>
  <si>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</si>
  <si>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</si>
  <si>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</si>
  <si>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</si>
  <si>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</si>
  <si>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</si>
  <si>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</si>
  <si>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</si>
  <si>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</si>
  <si>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</si>
  <si>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</si>
  <si>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</si>
  <si>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</si>
  <si>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</si>
  <si>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</si>
  <si>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</si>
  <si>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</si>
  <si>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</si>
  <si>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</si>
  <si>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</si>
  <si>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</si>
  <si>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</si>
  <si>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</si>
  <si>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</si>
  <si>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</si>
  <si>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</si>
  <si>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</si>
  <si>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</si>
  <si>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</si>
  <si>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</si>
  <si>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</si>
  <si>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</si>
  <si>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</si>
  <si>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</si>
  <si>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</si>
  <si>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</si>
  <si>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</si>
  <si>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</si>
  <si>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</si>
  <si>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</si>
  <si>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</si>
  <si>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</si>
  <si>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</si>
  <si>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</si>
  <si>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</si>
  <si>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</si>
  <si>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</si>
  <si>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</si>
  <si>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</si>
  <si>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</si>
  <si>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</si>
  <si>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</si>
  <si>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</si>
  <si>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</si>
  <si>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</si>
  <si>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</si>
  <si>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</si>
  <si>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</si>
  <si>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</si>
  <si>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</si>
  <si>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</si>
  <si>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</si>
  <si>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</si>
  <si>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</si>
  <si>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</si>
  <si>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</si>
  <si>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</si>
  <si>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</si>
  <si>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</si>
  <si>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</si>
  <si>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</si>
  <si>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</si>
  <si>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</si>
  <si>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</si>
  <si>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</si>
  <si>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</si>
  <si>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</si>
  <si>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</si>
  <si>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</si>
  <si>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</si>
  <si>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</si>
  <si>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</si>
  <si>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</si>
  <si>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</si>
  <si>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</si>
  <si>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</si>
  <si>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</si>
  <si>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</si>
  <si>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</si>
  <si>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</si>
  <si>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</si>
  <si>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</si>
  <si>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</si>
  <si>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</si>
  <si>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</si>
  <si>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</si>
  <si>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</si>
  <si>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</si>
  <si>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</si>
  <si>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</si>
  <si>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</si>
  <si>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</si>
  <si>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</si>
  <si>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</si>
  <si>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</si>
  <si>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</si>
  <si>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</si>
  <si>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</si>
  <si>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</si>
  <si>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</si>
  <si>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</si>
  <si>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</si>
  <si>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</si>
  <si>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</si>
  <si>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</si>
  <si>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</si>
  <si>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</si>
  <si>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</si>
  <si>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</si>
  <si>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</si>
  <si>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</si>
  <si>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</si>
  <si>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</si>
  <si>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</si>
  <si>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</si>
  <si>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</si>
  <si>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</si>
  <si>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</si>
  <si>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</si>
  <si>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</si>
  <si>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</si>
  <si>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</si>
  <si>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</si>
  <si>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</si>
  <si>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</si>
  <si>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</si>
  <si>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</si>
  <si>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</si>
  <si>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</si>
  <si>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</si>
  <si>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</si>
  <si>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</si>
  <si>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</si>
  <si>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</si>
  <si>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</si>
  <si>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</si>
  <si>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</si>
  <si>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</si>
  <si>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</si>
  <si>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</si>
  <si>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</si>
  <si>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</si>
  <si>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</si>
  <si>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</si>
  <si>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</si>
  <si>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</si>
  <si>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</si>
  <si>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</si>
  <si>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</si>
  <si>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</si>
  <si>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</si>
  <si>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</si>
  <si>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</si>
  <si>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</si>
  <si>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</si>
  <si>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</si>
  <si>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</si>
  <si>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</si>
  <si>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</si>
  <si>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</si>
  <si>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</si>
  <si>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</si>
  <si>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</si>
  <si>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</si>
  <si>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</si>
  <si>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</si>
  <si>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</si>
  <si>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</si>
  <si>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</si>
  <si>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</si>
  <si>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</si>
  <si>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</si>
  <si>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</si>
  <si>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</si>
  <si>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</si>
  <si>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</si>
  <si>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</si>
  <si>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</si>
  <si>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</si>
  <si>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</si>
  <si>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</si>
  <si>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</si>
  <si>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</si>
  <si>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</si>
  <si>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</si>
  <si>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</si>
  <si>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</si>
  <si>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</si>
  <si>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</si>
  <si>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</si>
  <si>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</si>
  <si>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</si>
  <si>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</si>
  <si>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</si>
  <si>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</si>
  <si>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</si>
  <si>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</si>
  <si>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</si>
  <si>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</si>
  <si>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</si>
  <si>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</si>
  <si>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</si>
  <si>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</si>
  <si>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</si>
  <si>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</si>
  <si>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</si>
  <si>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</si>
  <si>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</si>
  <si>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</si>
  <si>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</si>
  <si>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</si>
  <si>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</si>
  <si>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</si>
  <si>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</si>
  <si>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</si>
  <si>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</si>
  <si>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</si>
  <si>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</si>
  <si>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</si>
  <si>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</si>
  <si>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</si>
  <si>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</si>
  <si>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</si>
  <si>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</si>
  <si>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</si>
  <si>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</si>
  <si>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</si>
  <si>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</si>
  <si>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</si>
  <si>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</si>
  <si>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</si>
  <si>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</si>
  <si>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</si>
  <si>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</si>
  <si>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</si>
  <si>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</si>
  <si>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</si>
  <si>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</si>
  <si>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</si>
  <si>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</si>
  <si>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</si>
  <si>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</si>
  <si>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</si>
  <si>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</si>
  <si>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</si>
  <si>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</si>
  <si>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</si>
  <si>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</si>
  <si>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</si>
  <si>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</si>
  <si>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</si>
  <si>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</si>
  <si>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</si>
  <si>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</si>
  <si>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</si>
  <si>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</si>
  <si>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</si>
  <si>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</si>
  <si>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</si>
  <si>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</si>
  <si>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</si>
  <si>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</si>
  <si>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</si>
  <si>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</si>
  <si>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</si>
  <si>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</si>
  <si>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</si>
  <si>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</si>
  <si>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</si>
  <si>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</si>
  <si>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</si>
  <si>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</si>
  <si>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</si>
  <si>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</si>
  <si>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</si>
  <si>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</si>
  <si>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150 ml</t>
  </si>
  <si>
    <t>Правый</t>
  </si>
  <si>
    <t>Metafor</t>
  </si>
  <si>
    <t>Экстренное ЧКВ в ПКА</t>
  </si>
  <si>
    <t xml:space="preserve">Артемьева И.Г. </t>
  </si>
  <si>
    <t>2320</t>
  </si>
  <si>
    <t>14:36</t>
  </si>
  <si>
    <t>Устье ПКА катетеризировано проводниковым катетером Launcher JR 3,5 6Fr.  Коронарный проводник sion проведен  в дистальный сегмент ПКА. БК Колибри 2.0-15 и 2.75-15 выпонена предилатация кальцинированного субокклюзирующего стеноза проксимального сегмента ПКА. В зону остаточного кальцинированного  стеноза с техническими сложностями  имплантирован DES Resolute Integryti  2,75 х 22 мм, давлением 12 атм. На контрольных съемках стент  раскрыт 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ПКА -  TIMI III. Пациентка  транспортируется в ПРИТ для дальнейшего наблюдения и лечения.</t>
  </si>
  <si>
    <t>кальциноз, неровности контуров</t>
  </si>
  <si>
    <r>
      <t xml:space="preserve">кальциноз проксимального сегмента с эксцентричным стенозом до 50%. Антеградный кровоток TIMI III. </t>
    </r>
    <r>
      <rPr>
        <b/>
        <sz val="12"/>
        <color theme="1"/>
        <rFont val="Arial Narrow"/>
        <family val="2"/>
        <charset val="204"/>
      </rPr>
      <t>ИМА:</t>
    </r>
    <r>
      <rPr>
        <sz val="12"/>
        <color theme="1"/>
        <rFont val="Arial Narrow"/>
        <family val="2"/>
        <charset val="204"/>
      </rPr>
      <t xml:space="preserve"> кальцинированный стеноз пркосимального сегмента 30%.  Антеградный кровоток TIMI III. </t>
    </r>
  </si>
  <si>
    <t xml:space="preserve">ХТО на уровне проксимального сегмента с коллатералльным контрастированием дистального сегмента за счёт внутрисистемных коллатералей. Антеградный кровоток TIMI 0.  </t>
  </si>
  <si>
    <t xml:space="preserve">выраженный кальциноз проксимального и среднего сегментов. Субтотальный стеноз границы проксимального и среднего сегментов, пролонгированный стеноз среднего сегмента 50%, (умеренно-выраженая девиация среднего сегмента, неровности контуров дистаьного сегмента.  Антеградный кровоток - TIMI II за счёт субокклюзии.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</si>
</sst>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"/>
      <family val="2"/>
      <charset val="204"/>
    </font>
    <font>
      <sz val="11"/>
      <color rgb="FF9C65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  <xf numFmtId="0" fontId="69" fillId="14" borderId="0" applyNumberFormat="0" applyBorder="0" applyAlignment="0" applyProtection="0"/>
  </cellStyleXfs>
  <cellXfs count="2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67" fillId="0" borderId="5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  <xf numFmtId="0" fontId="69" fillId="14" borderId="0" xfId="8"/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Нейтральный" xfId="8" builtinId="28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32" sqref="I32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45681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0.61805555555555558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0.625</v>
      </c>
      <c r="C10" s="51"/>
      <c r="D10" s="83" t="s">
        <v>173</v>
      </c>
      <c r="E10" s="81"/>
      <c r="F10" s="81"/>
      <c r="G10" s="22" t="s">
        <v>164</v>
      </c>
      <c r="H10" s="24"/>
    </row>
    <row r="11" spans="1:8" ht="17.25" thickTop="1" thickBot="1">
      <c r="A11" s="77" t="s">
        <v>192</v>
      </c>
      <c r="B11" s="185" t="s">
        <v>534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16852</v>
      </c>
      <c r="C12" s="11"/>
      <c r="D12" s="83" t="s">
        <v>303</v>
      </c>
      <c r="E12" s="81"/>
      <c r="F12" s="81"/>
      <c r="G12" s="22" t="s">
        <v>178</v>
      </c>
      <c r="H12" s="24"/>
    </row>
    <row r="13" spans="1:8" ht="15.75">
      <c r="A13" s="14" t="s">
        <v>10</v>
      </c>
      <c r="B13" s="28">
        <f>DATEDIF(B12,B8,"y")</f>
        <v>78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2124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536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535</v>
      </c>
    </row>
    <row r="17" spans="1:9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4.4080000000000004</v>
      </c>
    </row>
    <row r="18" spans="1:9" ht="14.45" customHeight="1">
      <c r="A18" s="198" t="s">
        <v>188</v>
      </c>
      <c r="B18" s="199" t="s">
        <v>531</v>
      </c>
      <c r="C18" s="204"/>
      <c r="D18" s="205" t="s">
        <v>210</v>
      </c>
      <c r="E18" s="205"/>
      <c r="F18" s="205"/>
      <c r="G18" s="201" t="s">
        <v>189</v>
      </c>
      <c r="H18" s="202" t="s">
        <v>527</v>
      </c>
    </row>
    <row r="19" spans="1:9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9" ht="14.45" customHeight="1">
      <c r="A20" s="198" t="s">
        <v>212</v>
      </c>
      <c r="B20" s="225" t="s">
        <v>538</v>
      </c>
      <c r="C20" s="230"/>
      <c r="D20" s="230"/>
      <c r="E20" s="230"/>
      <c r="F20" s="230"/>
      <c r="G20" s="230"/>
      <c r="H20" s="231"/>
    </row>
    <row r="21" spans="1:9" ht="15.75">
      <c r="A21" s="210"/>
      <c r="B21" s="232"/>
      <c r="C21" s="232"/>
      <c r="D21" s="232"/>
      <c r="E21" s="232"/>
      <c r="F21" s="232"/>
      <c r="G21" s="232"/>
      <c r="H21" s="233"/>
    </row>
    <row r="22" spans="1:9" ht="15.6" customHeight="1">
      <c r="A22" s="203" t="s">
        <v>271</v>
      </c>
      <c r="B22" s="234" t="s">
        <v>539</v>
      </c>
      <c r="C22" s="234"/>
      <c r="D22" s="234"/>
      <c r="E22" s="234"/>
      <c r="F22" s="234"/>
      <c r="G22" s="234"/>
      <c r="H22" s="235"/>
    </row>
    <row r="23" spans="1:9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9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9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9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9" ht="14.45" customHeight="1">
      <c r="A27" s="203" t="s">
        <v>272</v>
      </c>
      <c r="B27" s="234" t="s">
        <v>540</v>
      </c>
      <c r="C27" s="234"/>
      <c r="D27" s="234"/>
      <c r="E27" s="234"/>
      <c r="F27" s="234"/>
      <c r="G27" s="234"/>
      <c r="H27" s="235"/>
    </row>
    <row r="28" spans="1:9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9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9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9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9" ht="14.45" customHeight="1">
      <c r="A32" s="203" t="s">
        <v>273</v>
      </c>
      <c r="B32" s="238" t="s">
        <v>541</v>
      </c>
      <c r="C32" s="234"/>
      <c r="D32" s="234"/>
      <c r="E32" s="234"/>
      <c r="F32" s="234"/>
      <c r="G32" s="234"/>
      <c r="H32" s="235"/>
      <c r="I32" s="261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533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528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5" zoomScaleNormal="100" zoomScaleSheetLayoutView="100" zoomScalePageLayoutView="90" workbookViewId="0">
      <selection activeCell="J26" sqref="J26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9" t="s">
        <v>208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8" t="s">
        <v>216</v>
      </c>
      <c r="D8" s="248"/>
      <c r="E8" s="248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2"/>
      <c r="D9" s="252"/>
      <c r="E9" s="252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3"/>
      <c r="D10" s="253"/>
      <c r="E10" s="253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45681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0.625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0.65972222222222221</v>
      </c>
      <c r="C14" s="11"/>
      <c r="D14" s="83" t="s">
        <v>173</v>
      </c>
      <c r="E14" s="81"/>
      <c r="F14" s="81"/>
      <c r="G14" s="71" t="str">
        <f>КАГ!G10</f>
        <v>Севринова О.В.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3.472222222222221E-2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 xml:space="preserve">Артемьева И.Г. </v>
      </c>
      <c r="C16" s="182">
        <f>LEN(КАГ!B11)</f>
        <v>15</v>
      </c>
      <c r="D16" s="83" t="s">
        <v>303</v>
      </c>
      <c r="E16" s="81"/>
      <c r="F16" s="81"/>
      <c r="G16" s="71" t="str">
        <f>КАГ!G12</f>
        <v>Галамага Н.Е.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16852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78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2124</v>
      </c>
      <c r="C19" s="61"/>
      <c r="D19" s="61"/>
      <c r="E19" s="61"/>
      <c r="F19" s="61"/>
      <c r="G19" s="150" t="s">
        <v>399</v>
      </c>
      <c r="H19" s="164" t="str">
        <f>КАГ!H15</f>
        <v>14:36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2320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4.4080000000000004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/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7" t="s">
        <v>537</v>
      </c>
      <c r="B25" s="258"/>
      <c r="C25" s="258"/>
      <c r="D25" s="258"/>
      <c r="E25" s="258"/>
      <c r="F25" s="258"/>
      <c r="G25" s="258"/>
      <c r="H25" s="259"/>
    </row>
    <row r="26" spans="1:8" ht="14.45" customHeight="1">
      <c r="A26" s="260"/>
      <c r="B26" s="258"/>
      <c r="C26" s="258"/>
      <c r="D26" s="258"/>
      <c r="E26" s="258"/>
      <c r="F26" s="258"/>
      <c r="G26" s="258"/>
      <c r="H26" s="259"/>
    </row>
    <row r="27" spans="1:8" ht="14.45" customHeight="1">
      <c r="A27" s="260"/>
      <c r="B27" s="258"/>
      <c r="C27" s="258"/>
      <c r="D27" s="258"/>
      <c r="E27" s="258"/>
      <c r="F27" s="258"/>
      <c r="G27" s="258"/>
      <c r="H27" s="259"/>
    </row>
    <row r="28" spans="1:8" ht="14.45" customHeight="1">
      <c r="A28" s="260"/>
      <c r="B28" s="258"/>
      <c r="C28" s="258"/>
      <c r="D28" s="258"/>
      <c r="E28" s="258"/>
      <c r="F28" s="258"/>
      <c r="G28" s="258"/>
      <c r="H28" s="259"/>
    </row>
    <row r="29" spans="1:8" ht="14.45" customHeight="1">
      <c r="A29" s="260"/>
      <c r="B29" s="258"/>
      <c r="C29" s="258"/>
      <c r="D29" s="258"/>
      <c r="E29" s="258"/>
      <c r="F29" s="258"/>
      <c r="G29" s="258"/>
      <c r="H29" s="259"/>
    </row>
    <row r="30" spans="1:8" ht="14.45" customHeight="1">
      <c r="A30" s="260"/>
      <c r="B30" s="258"/>
      <c r="C30" s="258"/>
      <c r="D30" s="258"/>
      <c r="E30" s="258"/>
      <c r="F30" s="258"/>
      <c r="G30" s="258"/>
      <c r="H30" s="259"/>
    </row>
    <row r="31" spans="1:8" ht="14.45" customHeight="1">
      <c r="A31" s="260"/>
      <c r="B31" s="258"/>
      <c r="C31" s="258"/>
      <c r="D31" s="258"/>
      <c r="E31" s="258"/>
      <c r="F31" s="258"/>
      <c r="G31" s="258"/>
      <c r="H31" s="259"/>
    </row>
    <row r="32" spans="1:8" ht="14.45" customHeight="1">
      <c r="A32" s="260"/>
      <c r="B32" s="258"/>
      <c r="C32" s="258"/>
      <c r="D32" s="258"/>
      <c r="E32" s="258"/>
      <c r="F32" s="258"/>
      <c r="G32" s="258"/>
      <c r="H32" s="259"/>
    </row>
    <row r="33" spans="1:12" ht="14.45" customHeight="1">
      <c r="A33" s="260"/>
      <c r="B33" s="258"/>
      <c r="C33" s="258"/>
      <c r="D33" s="258"/>
      <c r="E33" s="258"/>
      <c r="F33" s="258"/>
      <c r="G33" s="258"/>
      <c r="H33" s="259"/>
    </row>
    <row r="34" spans="1:12" ht="14.45" customHeight="1">
      <c r="A34" s="260"/>
      <c r="B34" s="258"/>
      <c r="C34" s="258"/>
      <c r="D34" s="258"/>
      <c r="E34" s="258"/>
      <c r="F34" s="258"/>
      <c r="G34" s="258"/>
      <c r="H34" s="259"/>
    </row>
    <row r="35" spans="1:12" ht="14.45" customHeight="1">
      <c r="A35" s="260"/>
      <c r="B35" s="258"/>
      <c r="C35" s="258"/>
      <c r="D35" s="258"/>
      <c r="E35" s="258"/>
      <c r="F35" s="258"/>
      <c r="G35" s="258"/>
      <c r="H35" s="259"/>
    </row>
    <row r="36" spans="1:12" ht="14.45" customHeight="1">
      <c r="A36" s="260"/>
      <c r="B36" s="258"/>
      <c r="C36" s="258"/>
      <c r="D36" s="258"/>
      <c r="E36" s="258"/>
      <c r="F36" s="258"/>
      <c r="G36" s="258"/>
      <c r="H36" s="259"/>
    </row>
    <row r="37" spans="1:12" ht="14.45" customHeight="1">
      <c r="A37" s="260"/>
      <c r="B37" s="258"/>
      <c r="C37" s="258"/>
      <c r="D37" s="258"/>
      <c r="E37" s="258"/>
      <c r="F37" s="258"/>
      <c r="G37" s="258"/>
      <c r="H37" s="259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526</v>
      </c>
      <c r="C40" s="107"/>
      <c r="D40" s="254" t="s">
        <v>529</v>
      </c>
      <c r="E40" s="255"/>
      <c r="F40" s="255"/>
      <c r="G40" s="255"/>
      <c r="H40" s="256"/>
    </row>
    <row r="41" spans="1:12" ht="14.45" customHeight="1">
      <c r="A41" s="30"/>
      <c r="B41" s="26"/>
      <c r="C41" s="107"/>
      <c r="D41" s="255"/>
      <c r="E41" s="255"/>
      <c r="F41" s="255"/>
      <c r="G41" s="255"/>
      <c r="H41" s="256"/>
    </row>
    <row r="42" spans="1:12" ht="14.45" customHeight="1">
      <c r="A42" s="30"/>
      <c r="B42" s="26"/>
      <c r="C42" s="107"/>
      <c r="D42" s="255"/>
      <c r="E42" s="255"/>
      <c r="F42" s="255"/>
      <c r="G42" s="255"/>
      <c r="H42" s="256"/>
    </row>
    <row r="43" spans="1:12" ht="14.45" customHeight="1">
      <c r="A43" s="30"/>
      <c r="B43" s="26"/>
      <c r="C43" s="107"/>
      <c r="D43" s="255"/>
      <c r="E43" s="255"/>
      <c r="F43" s="255"/>
      <c r="G43" s="255"/>
      <c r="H43" s="256"/>
    </row>
    <row r="44" spans="1:12" ht="14.45" customHeight="1">
      <c r="A44" s="30"/>
      <c r="B44" s="26"/>
      <c r="C44" s="107"/>
      <c r="D44" s="255"/>
      <c r="E44" s="255"/>
      <c r="F44" s="255"/>
      <c r="G44" s="255"/>
      <c r="H44" s="256"/>
      <c r="L44" s="146"/>
    </row>
    <row r="45" spans="1:12" ht="14.45" customHeight="1">
      <c r="A45" s="30"/>
      <c r="B45" s="26"/>
      <c r="C45" s="107"/>
      <c r="D45" s="255"/>
      <c r="E45" s="255"/>
      <c r="F45" s="255"/>
      <c r="G45" s="255"/>
      <c r="H45" s="256"/>
    </row>
    <row r="46" spans="1:12" ht="14.45" customHeight="1">
      <c r="A46" s="30"/>
      <c r="B46" s="26"/>
      <c r="C46" s="107"/>
      <c r="D46" s="255"/>
      <c r="E46" s="255"/>
      <c r="F46" s="255"/>
      <c r="G46" s="255"/>
      <c r="H46" s="256"/>
    </row>
    <row r="47" spans="1:12" ht="14.45" customHeight="1">
      <c r="A47" s="34"/>
      <c r="B47"/>
      <c r="C47" s="107"/>
      <c r="D47" s="255"/>
      <c r="E47" s="255"/>
      <c r="F47" s="255"/>
      <c r="G47" s="255"/>
      <c r="H47" s="256"/>
    </row>
    <row r="48" spans="1:12" ht="14.45" customHeight="1">
      <c r="A48" s="34"/>
      <c r="B48"/>
      <c r="C48" s="107"/>
      <c r="D48" s="255"/>
      <c r="E48" s="255"/>
      <c r="F48" s="255"/>
      <c r="G48" s="255"/>
      <c r="H48" s="256"/>
    </row>
    <row r="49" spans="1:8" ht="14.45" customHeight="1">
      <c r="A49" s="34"/>
      <c r="B49"/>
      <c r="C49" s="107"/>
      <c r="D49" s="255"/>
      <c r="E49" s="255"/>
      <c r="F49" s="255"/>
      <c r="G49" s="255"/>
      <c r="H49" s="256"/>
    </row>
    <row r="50" spans="1:8">
      <c r="A50" s="54" t="s">
        <v>199</v>
      </c>
      <c r="B50" s="55" t="s">
        <v>530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9" t="s">
        <v>371</v>
      </c>
      <c r="B52" s="240"/>
      <c r="C52" s="240"/>
      <c r="D52" s="240"/>
      <c r="E52" s="240"/>
      <c r="F52" s="241"/>
      <c r="G52"/>
      <c r="H52" s="35"/>
    </row>
    <row r="53" spans="1:8" ht="15" customHeight="1">
      <c r="A53" s="242"/>
      <c r="B53" s="243"/>
      <c r="C53" s="243"/>
      <c r="D53" s="243"/>
      <c r="E53" s="243"/>
      <c r="F53" s="244"/>
      <c r="G53" s="66" t="str">
        <f>IF(ISBLANK(H13),"",H13)</f>
        <v/>
      </c>
      <c r="H53" s="56"/>
    </row>
    <row r="54" spans="1:8">
      <c r="A54" s="245"/>
      <c r="B54" s="246"/>
      <c r="C54" s="246"/>
      <c r="D54" s="246"/>
      <c r="E54" s="246"/>
      <c r="F54" s="247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кальциноз, неровности контуров
Бассейн ПНА:   кальциноз проксимального сегмента с эксцентричным стенозом до 50%. Антеградный кровоток TIMI III. ИМА: кальцинированный стеноз пркосимального сегмента 30%.  Антеградный кровоток TIMI III. 
Бассейн  ОА:   ХТО на уровне проксимального сегмента с коллатералльным контрастированием дистального сегмента за счёт внутрисистемных коллатералей. Антеградный кровоток TIMI 0.  
Бассейн ПКА:   выраженный кальциноз проксимального и среднего сегментов. Субтотальный стеноз границы проксимального и среднего сегментов, пролонгированный стеноз среднего сегмента 50%, (умеренно-выраженая девиация среднего сегмента, неровности контуров дистаьного сегмента.  Антеградный кровоток - TIMI II за счёт субокклюзии. 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18" sqref="D18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45681</v>
      </c>
      <c r="C2" s="138" t="str">
        <f>IF(ЧКВ!B21=Вмешательства!F14,Вмешательства!F20,Вмешательства!F22)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 xml:space="preserve">Артемьева И.Г. 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16852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78</v>
      </c>
    </row>
    <row r="7" spans="1:4">
      <c r="A7" s="34"/>
      <c r="B7"/>
      <c r="C7" s="88" t="s">
        <v>12</v>
      </c>
      <c r="D7" s="90">
        <f>КАГ!$B$14</f>
        <v>2124</v>
      </c>
    </row>
    <row r="8" spans="1:4">
      <c r="A8" s="176" t="str">
        <f>ЧКВ!$A$9</f>
        <v>Код модели: 21167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45681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330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316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375</v>
      </c>
      <c r="C17" s="166" t="s">
        <v>411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449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 t="s">
        <v>211</v>
      </c>
      <c r="C19" s="121" t="s">
        <v>211</v>
      </c>
      <c r="D19" s="126" t="s">
        <v>211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 t="s">
        <v>211</v>
      </c>
      <c r="C20" s="121" t="s">
        <v>211</v>
      </c>
      <c r="D20" s="128" t="s">
        <v>211</v>
      </c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sheet="1" objects="1" scenarios="1"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6" zoomScaleNormal="100" workbookViewId="0">
      <selection activeCell="C64" sqref="C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02" t="str">
        <f>IFERROR(INDEX(Расходка[Наименование расходного материала],MATCH(Расходка[[#This Row],[№]],Поиск_расходки[Индекс3],0)),"")</f>
        <v>Sion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Колибри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>Sion Black</v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0</v>
      </c>
      <c r="N4" s="103">
        <f>IF(ISNUMBER(SEARCH('Карта учёта'!$B$20,Расходка[[#This Row],[Наименование расходного материала]])),MAX($N$1:N3)+1,0)</f>
        <v>0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>Sion Blue</v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NC Accuforce</v>
      </c>
      <c r="AA4" s="102" t="str">
        <f>IFERROR(INDEX(Расходка[Наименование расходного материала],MATCH(Расходка[[#This Row],[№]],Поиск_расходки[Индекс10],0)),"")</f>
        <v>NC Accuforce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3</v>
      </c>
      <c r="N5" s="103">
        <f>IF(ISNUMBER(SEARCH('Карта учёта'!$B$20,Расходка[[#This Row],[Наименование расходного материала]])),MAX($N$1:N4)+1,0)</f>
        <v>3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Euphora</v>
      </c>
      <c r="AA5" s="102" t="str">
        <f>IFERROR(INDEX(Расходка[Наименование расходного материала],MATCH(Расходка[[#This Row],[№]],Поиск_расходки[Индекс10],0)),"")</f>
        <v>NC Euphora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4</v>
      </c>
      <c r="N6" s="103">
        <f>IF(ISNUMBER(SEARCH('Карта учёта'!$B$20,Расходка[[#This Row],[Наименование расходного материала]])),MAX($N$1:N5)+1,0)</f>
        <v>4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6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0</v>
      </c>
      <c r="N7" s="103">
        <f>IF(ISNUMBER(SEARCH('Карта учёта'!$B$20,Расходка[[#This Row],[Наименование расходного материала]])),MAX($N$1:N6)+1,0)</f>
        <v>0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7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5</v>
      </c>
      <c r="N8" s="103">
        <f>IF(ISNUMBER(SEARCH('Карта учёта'!$B$20,Расходка[[#This Row],[Наименование расходного материала]])),MAX($N$1:N7)+1,0)</f>
        <v>5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8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6</v>
      </c>
      <c r="N9" s="103">
        <f>IF(ISNUMBER(SEARCH('Карта учёта'!$B$20,Расходка[[#This Row],[Наименование расходного материала]])),MAX($N$1:N8)+1,0)</f>
        <v>6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9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1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0</v>
      </c>
      <c r="N10" s="103">
        <f>IF(ISNUMBER(SEARCH('Карта учёта'!$B$20,Расходка[[#This Row],[Наименование расходного материала]])),MAX($N$1:N9)+1,0)</f>
        <v>0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Nitrex 260</v>
      </c>
      <c r="AA10" s="102" t="str">
        <f>IFERROR(INDEX(Расходка[Наименование расходного материала],MATCH(Расходка[[#This Row],[№]],Поиск_расходки[Индекс10],0)),"")</f>
        <v>Nitrex 260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2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7</v>
      </c>
      <c r="N11" s="103">
        <f>IF(ISNUMBER(SEARCH('Карта учёта'!$B$20,Расходка[[#This Row],[Наименование расходного материала]])),MAX($N$1:N10)+1,0)</f>
        <v>7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>Lepu Medical</v>
      </c>
      <c r="AA11" s="102" t="str">
        <f>IFERROR(INDEX(Расходка[Наименование расходного материала],MATCH(Расходка[[#This Row],[№]],Поиск_расходки[Индекс10],0)),"")</f>
        <v>Lepu Medical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8</v>
      </c>
      <c r="N12" s="103">
        <f>IF(ISNUMBER(SEARCH('Карта учёта'!$B$20,Расходка[[#This Row],[Наименование расходного материала]])),MAX($N$1:N11)+1,0)</f>
        <v>8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2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9</v>
      </c>
      <c r="N13" s="103">
        <f>IF(ISNUMBER(SEARCH('Карта учёта'!$B$20,Расходка[[#This Row],[Наименование расходного материала]])),MAX($N$1:N12)+1,0)</f>
        <v>9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Oscor 7F</v>
      </c>
      <c r="AA13" s="102" t="str">
        <f>IFERROR(INDEX(Расходка[Наименование расходного материала],MATCH(Расходка[[#This Row],[№]],Поиск_расходки[Индекс10],0)),"")</f>
        <v>Oscor 7F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0</v>
      </c>
      <c r="N14" s="103">
        <f>IF(ISNUMBER(SEARCH('Карта учёта'!$B$20,Расходка[[#This Row],[Наименование расходного материала]])),MAX($N$1:N13)+1,0)</f>
        <v>0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14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0</v>
      </c>
      <c r="N15" s="103">
        <f>IF(ISNUMBER(SEARCH('Карта учёта'!$B$20,Расходка[[#This Row],[Наименование расходного материала]])),MAX($N$1:N14)+1,0)</f>
        <v>0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15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0</v>
      </c>
      <c r="N16" s="103">
        <f>IF(ISNUMBER(SEARCH('Карта учёта'!$B$20,Расходка[[#This Row],[Наименование расходного материала]])),MAX($N$1:N15)+1,0)</f>
        <v>0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16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0</v>
      </c>
      <c r="N17" s="103">
        <f>IF(ISNUMBER(SEARCH('Карта учёта'!$B$20,Расходка[[#This Row],[Наименование расходного материала]])),MAX($N$1:N16)+1,0)</f>
        <v>0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17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10</v>
      </c>
      <c r="N18" s="103">
        <f>IF(ISNUMBER(SEARCH('Карта учёта'!$B$20,Расходка[[#This Row],[Наименование расходного материала]])),MAX($N$1:N17)+1,0)</f>
        <v>10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Fielder XT-A</v>
      </c>
      <c r="AA18" s="102" t="str">
        <f>IFERROR(INDEX(Расходка[Наименование расходного материала],MATCH(Расходка[[#This Row],[№]],Поиск_расходки[Индекс10],0)),"")</f>
        <v>Fielder XT-A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11</v>
      </c>
      <c r="N19" s="103">
        <f>IF(ISNUMBER(SEARCH('Карта учёта'!$B$20,Расходка[[#This Row],[Наименование расходного материала]])),MAX($N$1:N18)+1,0)</f>
        <v>11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Fielder XT-R</v>
      </c>
      <c r="AA19" s="102" t="str">
        <f>IFERROR(INDEX(Расходка[Наименование расходного материала],MATCH(Расходка[[#This Row],[№]],Поиск_расходки[Индекс10],0)),"")</f>
        <v>Fielder XT-R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0</v>
      </c>
      <c r="N20" s="103">
        <f>IF(ISNUMBER(SEARCH('Карта учёта'!$B$20,Расходка[[#This Row],[Наименование расходного материала]])),MAX($N$1:N19)+1,0)</f>
        <v>0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2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12</v>
      </c>
      <c r="N21" s="103">
        <f>IF(ISNUMBER(SEARCH('Карта учёта'!$B$20,Расходка[[#This Row],[Наименование расходного материала]])),MAX($N$1:N20)+1,0)</f>
        <v>12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2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13</v>
      </c>
      <c r="N22" s="103">
        <f>IF(ISNUMBER(SEARCH('Карта учёта'!$B$20,Расходка[[#This Row],[Наименование расходного материала]])),MAX($N$1:N21)+1,0)</f>
        <v>13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2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14</v>
      </c>
      <c r="N23" s="103">
        <f>IF(ISNUMBER(SEARCH('Карта учёта'!$B$20,Расходка[[#This Row],[Наименование расходного материала]])),MAX($N$1:N22)+1,0)</f>
        <v>14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23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0</v>
      </c>
      <c r="N24" s="103">
        <f>IF(ISNUMBER(SEARCH('Карта учёта'!$B$20,Расходка[[#This Row],[Наименование расходного материала]])),MAX($N$1:N23)+1,0)</f>
        <v>0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24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15</v>
      </c>
      <c r="N25" s="103">
        <f>IF(ISNUMBER(SEARCH('Карта учёта'!$B$20,Расходка[[#This Row],[Наименование расходного материала]])),MAX($N$1:N24)+1,0)</f>
        <v>15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16</v>
      </c>
      <c r="N26" s="103">
        <f>IF(ISNUMBER(SEARCH('Карта учёта'!$B$20,Расходка[[#This Row],[Наименование расходного материала]])),MAX($N$1:N25)+1,0)</f>
        <v>16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26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0</v>
      </c>
      <c r="N27" s="103">
        <f>IF(ISNUMBER(SEARCH('Карта учёта'!$B$20,Расходка[[#This Row],[Наименование расходного материала]])),MAX($N$1:N26)+1,0)</f>
        <v>0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27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17</v>
      </c>
      <c r="N28" s="103">
        <f>IF(ISNUMBER(SEARCH('Карта учёта'!$B$20,Расходка[[#This Row],[Наименование расходного материала]])),MAX($N$1:N27)+1,0)</f>
        <v>17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28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18</v>
      </c>
      <c r="N29" s="103">
        <f>IF(ISNUMBER(SEARCH('Карта учёта'!$B$20,Расходка[[#This Row],[Наименование расходного материала]])),MAX($N$1:N28)+1,0)</f>
        <v>18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Sion Black</v>
      </c>
      <c r="AA29" s="102" t="str">
        <f>IFERROR(INDEX(Расходка[Наименование расходного материала],MATCH(Расходка[[#This Row],[№]],Поиск_расходки[Индекс10],0)),"")</f>
        <v>Sion Black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19</v>
      </c>
      <c r="N30" s="103">
        <f>IF(ISNUMBER(SEARCH('Карта учёта'!$B$20,Расходка[[#This Row],[Наименование расходного материала]])),MAX($N$1:N29)+1,0)</f>
        <v>19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Sion Blue</v>
      </c>
      <c r="AA30" s="102" t="str">
        <f>IFERROR(INDEX(Расходка[Наименование расходного материала],MATCH(Расходка[[#This Row],[№]],Поиск_расходки[Индекс10],0)),"")</f>
        <v>Sion Blue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20</v>
      </c>
      <c r="N31" s="103">
        <f>IF(ISNUMBER(SEARCH('Карта учёта'!$B$20,Расходка[[#This Row],[Наименование расходного материала]])),MAX($N$1:N30)+1,0)</f>
        <v>20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31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21</v>
      </c>
      <c r="N32" s="103">
        <f>IF(ISNUMBER(SEARCH('Карта учёта'!$B$20,Расходка[[#This Row],[Наименование расходного материала]])),MAX($N$1:N31)+1,0)</f>
        <v>21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32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0</v>
      </c>
      <c r="N33" s="103">
        <f>IF(ISNUMBER(SEARCH('Карта учёта'!$B$20,Расходка[[#This Row],[Наименование расходного материала]])),MAX($N$1:N32)+1,0)</f>
        <v>0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Winn 200T</v>
      </c>
      <c r="AA33" s="102" t="str">
        <f>IFERROR(INDEX(Расходка[Наименование расходного материала],MATCH(Расходка[[#This Row],[№]],Поиск_расходки[Индекс10],0)),"")</f>
        <v>Winn 200T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22</v>
      </c>
      <c r="N34" s="103">
        <f>IF(ISNUMBER(SEARCH('Карта учёта'!$B$20,Расходка[[#This Row],[Наименование расходного материала]])),MAX($N$1:N33)+1,0)</f>
        <v>22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34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23</v>
      </c>
      <c r="N35" s="103">
        <f>IF(ISNUMBER(SEARCH('Карта учёта'!$B$20,Расходка[[#This Row],[Наименование расходного материала]])),MAX($N$1:N34)+1,0)</f>
        <v>23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35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24</v>
      </c>
      <c r="N36" s="103">
        <f>IF(ISNUMBER(SEARCH('Карта учёта'!$B$20,Расходка[[#This Row],[Наименование расходного материала]])),MAX($N$1:N35)+1,0)</f>
        <v>24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36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0</v>
      </c>
      <c r="N37" s="103">
        <f>IF(ISNUMBER(SEARCH('Карта учёта'!$B$20,Расходка[[#This Row],[Наименование расходного материала]])),MAX($N$1:N36)+1,0)</f>
        <v>0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37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25</v>
      </c>
      <c r="N38" s="103">
        <f>IF(ISNUMBER(SEARCH('Карта учёта'!$B$20,Расходка[[#This Row],[Наименование расходного материала]])),MAX($N$1:N37)+1,0)</f>
        <v>25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Shunmei 0,6</v>
      </c>
      <c r="AA38" s="102" t="str">
        <f>IFERROR(INDEX(Расходка[Наименование расходного материала],MATCH(Расходка[[#This Row],[№]],Поиск_расходки[Индекс10],0)),"")</f>
        <v>Shunmei 0,6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26</v>
      </c>
      <c r="N39" s="103">
        <f>IF(ISNUMBER(SEARCH('Карта учёта'!$B$20,Расходка[[#This Row],[Наименование расходного материала]])),MAX($N$1:N38)+1,0)</f>
        <v>26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Shunmei 0,7</v>
      </c>
      <c r="AA39" s="102" t="str">
        <f>IFERROR(INDEX(Расходка[Наименование расходного материала],MATCH(Расходка[[#This Row],[№]],Поиск_расходки[Индекс10],0)),"")</f>
        <v>Shunmei 0,7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27</v>
      </c>
      <c r="N40" s="103">
        <f>IF(ISNUMBER(SEARCH('Карта учёта'!$B$20,Расходка[[#This Row],[Наименование расходного материала]])),MAX($N$1:N39)+1,0)</f>
        <v>27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40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1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0</v>
      </c>
      <c r="N41" s="103">
        <f>IF(ISNUMBER(SEARCH('Карта учёта'!$B$20,Расходка[[#This Row],[Наименование расходного материала]])),MAX($N$1:N40)+1,0)</f>
        <v>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41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2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28</v>
      </c>
      <c r="N42" s="103">
        <f>IF(ISNUMBER(SEARCH('Карта учёта'!$B$20,Расходка[[#This Row],[Наименование расходного материала]])),MAX($N$1:N41)+1,0)</f>
        <v>28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BMS, Integtity</v>
      </c>
      <c r="AA42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3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29</v>
      </c>
      <c r="N43" s="103">
        <f>IF(ISNUMBER(SEARCH('Карта учёта'!$B$20,Расходка[[#This Row],[Наименование расходного материала]])),MAX($N$1:N42)+1,0)</f>
        <v>29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DES, Calipso</v>
      </c>
      <c r="AA43" s="102" t="str">
        <f>IFERROR(INDEX(Расходка[Наименование расходного материала],MATCH(Расходка[[#This Row],[№]],Поиск_расходки[Индекс10],0)),"")</f>
        <v>DES, Calipso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0</v>
      </c>
      <c r="N44" s="103">
        <f>IF(ISNUMBER(SEARCH('Карта учёта'!$B$20,Расходка[[#This Row],[Наименование расходного материала]])),MAX($N$1:N43)+1,0)</f>
        <v>0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DES, NanoMed</v>
      </c>
      <c r="AA44" s="102" t="str">
        <f>IFERROR(INDEX(Расходка[Наименование расходного материала],MATCH(Расходка[[#This Row],[№]],Поиск_расходки[Индекс10],0)),"")</f>
        <v>DES, NanoMed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30</v>
      </c>
      <c r="N45" s="103">
        <f>IF(ISNUMBER(SEARCH('Карта учёта'!$B$20,Расходка[[#This Row],[Наименование расходного материала]])),MAX($N$1:N44)+1,0)</f>
        <v>30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5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31</v>
      </c>
      <c r="N46" s="103">
        <f>IF(ISNUMBER(SEARCH('Карта учёта'!$B$20,Расходка[[#This Row],[Наименование расходного материала]])),MAX($N$1:N45)+1,0)</f>
        <v>31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46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32</v>
      </c>
      <c r="N47" s="103">
        <f>IF(ISNUMBER(SEARCH('Карта учёта'!$B$20,Расходка[[#This Row],[Наименование расходного материала]])),MAX($N$1:N46)+1,0)</f>
        <v>32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DES, Firehawk</v>
      </c>
      <c r="AA47" s="102" t="str">
        <f>IFERROR(INDEX(Расходка[Наименование расходного материала],MATCH(Расходка[[#This Row],[№]],Поиск_расходки[Индекс10],0)),"")</f>
        <v>DES, Firehawk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33</v>
      </c>
      <c r="N48" s="103">
        <f>IF(ISNUMBER(SEARCH('Карта учёта'!$B$20,Расходка[[#This Row],[Наименование расходного материала]])),MAX($N$1:N47)+1,0)</f>
        <v>33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48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34</v>
      </c>
      <c r="N49" s="103">
        <f>IF(ISNUMBER(SEARCH('Карта учёта'!$B$20,Расходка[[#This Row],[Наименование расходного материала]])),MAX($N$1:N48)+1,0)</f>
        <v>34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49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35</v>
      </c>
      <c r="N50" s="103">
        <f>IF(ISNUMBER(SEARCH('Карта учёта'!$B$20,Расходка[[#This Row],[Наименование расходного материала]])),MAX($N$1:N49)+1,0)</f>
        <v>35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50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36</v>
      </c>
      <c r="N51" s="103">
        <f>IF(ISNUMBER(SEARCH('Карта учёта'!$B$20,Расходка[[#This Row],[Наименование расходного материала]])),MAX($N$1:N50)+1,0)</f>
        <v>36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51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37</v>
      </c>
      <c r="N52" s="103">
        <f>IF(ISNUMBER(SEARCH('Карта учёта'!$B$20,Расходка[[#This Row],[Наименование расходного материала]])),MAX($N$1:N51)+1,0)</f>
        <v>37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Telescope ™ II 6F</v>
      </c>
      <c r="AA52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38</v>
      </c>
      <c r="N53" s="103">
        <f>IF(ISNUMBER(SEARCH('Карта учёта'!$B$20,Расходка[[#This Row],[Наименование расходного материала]])),MAX($N$1:N52)+1,0)</f>
        <v>38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Launcher 6F AL 1</v>
      </c>
      <c r="AA53" s="102" t="str">
        <f>IFERROR(INDEX(Расходка[Наименование расходного материала],MATCH(Расходка[[#This Row],[№]],Поиск_расходки[Индекс10],0)),"")</f>
        <v>Launcher 6F AL 1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39</v>
      </c>
      <c r="N54" s="103">
        <f>IF(ISNUMBER(SEARCH('Карта учёта'!$B$20,Расходка[[#This Row],[Наименование расходного материала]])),MAX($N$1:N53)+1,0)</f>
        <v>39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Launcher 6F AL 2</v>
      </c>
      <c r="AA54" s="102" t="str">
        <f>IFERROR(INDEX(Расходка[Наименование расходного материала],MATCH(Расходка[[#This Row],[№]],Поиск_расходки[Индекс10],0)),"")</f>
        <v>Launcher 6F AL 2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40</v>
      </c>
      <c r="N55" s="103">
        <f>IF(ISNUMBER(SEARCH('Карта учёта'!$B$20,Расходка[[#This Row],[Наименование расходного материала]])),MAX($N$1:N54)+1,0)</f>
        <v>40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Launcher 6F EBU 3.5</v>
      </c>
      <c r="AA55" s="102" t="str">
        <f>IFERROR(INDEX(Расходка[Наименование расходного материала],MATCH(Расходка[[#This Row],[№]],Поиск_расходки[Индекс10],0)),"")</f>
        <v>Launcher 6F EBU 3.5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41</v>
      </c>
      <c r="N56" s="103">
        <f>IF(ISNUMBER(SEARCH('Карта учёта'!$B$20,Расходка[[#This Row],[Наименование расходного материала]])),MAX($N$1:N55)+1,0)</f>
        <v>41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Launcher 6F EBU 4.0</v>
      </c>
      <c r="AA56" s="102" t="str">
        <f>IFERROR(INDEX(Расходка[Наименование расходного материала],MATCH(Расходка[[#This Row],[№]],Поиск_расходки[Индекс10],0)),"")</f>
        <v>Launcher 6F EBU 4.0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42</v>
      </c>
      <c r="N57" s="103">
        <f>IF(ISNUMBER(SEARCH('Карта учёта'!$B$20,Расходка[[#This Row],[Наименование расходного материала]])),MAX($N$1:N56)+1,0)</f>
        <v>42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Launcher 6F JL 3.5</v>
      </c>
      <c r="AA57" s="102" t="str">
        <f>IFERROR(INDEX(Расходка[Наименование расходного материала],MATCH(Расходка[[#This Row],[№]],Поиск_расходки[Индекс10],0)),"")</f>
        <v>Launcher 6F JL 3.5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43</v>
      </c>
      <c r="N58" s="103">
        <f>IF(ISNUMBER(SEARCH('Карта учёта'!$B$20,Расходка[[#This Row],[Наименование расходного материала]])),MAX($N$1:N57)+1,0)</f>
        <v>43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Launcher 6F JL 4.0</v>
      </c>
      <c r="AA58" s="102" t="str">
        <f>IFERROR(INDEX(Расходка[Наименование расходного материала],MATCH(Расходка[[#This Row],[№]],Поиск_расходки[Индекс10],0)),"")</f>
        <v>Launcher 6F JL 4.0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44</v>
      </c>
      <c r="N59" s="103">
        <f>IF(ISNUMBER(SEARCH('Карта учёта'!$B$20,Расходка[[#This Row],[Наименование расходного материала]])),MAX($N$1:N58)+1,0)</f>
        <v>44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Launcher 6F JL 4.5</v>
      </c>
      <c r="AA59" s="102" t="str">
        <f>IFERROR(INDEX(Расходка[Наименование расходного материала],MATCH(Расходка[[#This Row],[№]],Поиск_расходки[Индекс10],0)),"")</f>
        <v>Launcher 6F JL 4.5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45</v>
      </c>
      <c r="N60" s="103">
        <f>IF(ISNUMBER(SEARCH('Карта учёта'!$B$20,Расходка[[#This Row],[Наименование расходного материала]])),MAX($N$1:N59)+1,0)</f>
        <v>45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Launcher 6F JR 3.5</v>
      </c>
      <c r="AA60" s="102" t="str">
        <f>IFERROR(INDEX(Расходка[Наименование расходного материала],MATCH(Расходка[[#This Row],[№]],Поиск_расходки[Индекс10],0)),"")</f>
        <v>Launcher 6F JR 3.5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46</v>
      </c>
      <c r="N61" s="103">
        <f>IF(ISNUMBER(SEARCH('Карта учёта'!$B$20,Расходка[[#This Row],[Наименование расходного материала]])),MAX($N$1:N60)+1,0)</f>
        <v>46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Launcher 6F JR 4.0</v>
      </c>
      <c r="AA61" s="102" t="str">
        <f>IFERROR(INDEX(Расходка[Наименование расходного материала],MATCH(Расходка[[#This Row],[№]],Поиск_расходки[Индекс10],0)),"")</f>
        <v>Launcher 6F JR 4.0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47</v>
      </c>
      <c r="N62" s="103">
        <f>IF(ISNUMBER(SEARCH('Карта учёта'!$B$20,Расходка[[#This Row],[Наименование расходного материала]])),MAX($N$1:N61)+1,0)</f>
        <v>47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Launcher 7F JL 3.5</v>
      </c>
      <c r="AA62" s="102" t="str">
        <f>IFERROR(INDEX(Расходка[Наименование расходного материала],MATCH(Расходка[[#This Row],[№]],Поиск_расходки[Индекс10],0)),"")</f>
        <v>Launcher 7F JL 3.5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48</v>
      </c>
      <c r="N63" s="103">
        <f>IF(ISNUMBER(SEARCH('Карта учёта'!$B$20,Расходка[[#This Row],[Наименование расходного материала]])),MAX($N$1:N62)+1,0)</f>
        <v>48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Launcher 7F JL 4.0</v>
      </c>
      <c r="AA63" s="102" t="str">
        <f>IFERROR(INDEX(Расходка[Наименование расходного материала],MATCH(Расходка[[#This Row],[№]],Поиск_расходки[Индекс10],0)),"")</f>
        <v>Launcher 7F JL 4.0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49</v>
      </c>
      <c r="N64" s="103">
        <f>IF(ISNUMBER(SEARCH('Карта учёта'!$B$20,Расходка[[#This Row],[Наименование расходного материала]])),MAX($N$1:N63)+1,0)</f>
        <v>49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Angio-Seal™ VIP</v>
      </c>
      <c r="AA64" s="102" t="str">
        <f>IFERROR(INDEX(Расходка[Наименование расходного материала],MATCH(Расходка[[#This Row],[№]],Поиск_расходки[Индекс10],0)),"")</f>
        <v>Angio-Seal™ VIP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532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0</v>
      </c>
      <c r="N65" s="103">
        <f>IF(ISNUMBER(SEARCH('Карта учёта'!$B$20,Расходка[[#This Row],[Наименование расходного материала]])),MAX($N$1:N64)+1,0)</f>
        <v>0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/>
      </c>
      <c r="AA65" s="102" t="str">
        <f>IFERROR(INDEX(Расходка[Наименование расходного материала],MATCH(Расходка[[#This Row],[№]],Поиск_расходки[Индекс10],0)),"")</f>
        <v/>
      </c>
      <c r="AB65" s="102" t="str">
        <f>IFERROR(INDEX(Расходка[Наименование расходного материала],MATCH(Расходка[[#This Row],[№]],Поиск_расходки[Индекс11],0)),"")</f>
        <v>Metafor</v>
      </c>
      <c r="AC65" s="102" t="str">
        <f>IFERROR(INDEX(Расходка[Наименование расходного материала],MATCH(Расходка[[#This Row],[№]],Поиск_расходки[Индекс12],0)),"")</f>
        <v>Metafor</v>
      </c>
      <c r="AD65" s="102" t="str">
        <f>IFERROR(INDEX(Расходка[Наименование расходного материала],MATCH(Расходка[[#This Row],[№]],Поиск_расходки[Индекс13],0)),"")</f>
        <v>Metafor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50</v>
      </c>
      <c r="N66" s="103">
        <f>IF(ISNUMBER(SEARCH('Карта учёта'!$B$20,Расходка[[#This Row],[Наименование расходного материала]])),MAX($N$1:N65)+1,0)</f>
        <v>50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/>
      </c>
      <c r="AA66" s="102" t="str">
        <f>IFERROR(INDEX(Расходка[Наименование расходного материала],MATCH(Расходка[[#This Row],[№]],Поиск_расходки[Индекс10],0)),"")</f>
        <v/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51</v>
      </c>
      <c r="N67" s="179">
        <f>IF(ISNUMBER(SEARCH('Карта учёта'!$B$20,Расходка[[#This Row],[Наименование расходного материала]])),MAX($N$1:N66)+1,0)</f>
        <v>51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/>
      </c>
      <c r="AA67" s="180" t="str">
        <f>IFERROR(INDEX(Расходка[Наименование расходного материала],MATCH(Расходка[[#This Row],[№]],Поиск_расходки[Индекс10],0)),"")</f>
        <v/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52</v>
      </c>
      <c r="N68" s="179">
        <f>IF(ISNUMBER(SEARCH('Карта учёта'!$B$20,Расходка[[#This Row],[Наименование расходного материала]])),MAX($N$1:N67)+1,0)</f>
        <v>52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/>
      </c>
      <c r="AA68" s="180" t="str">
        <f>IFERROR(INDEX(Расходка[Наименование расходного материала],MATCH(Расходка[[#This Row],[№]],Поиск_расходки[Индекс10],0)),"")</f>
        <v/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53</v>
      </c>
      <c r="N69" s="179">
        <f>IF(ISNUMBER(SEARCH('Карта учёта'!$B$20,Расходка[[#This Row],[Наименование расходного материала]])),MAX($N$1:N68)+1,0)</f>
        <v>53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/>
      </c>
      <c r="AA69" s="180" t="str">
        <f>IFERROR(INDEX(Расходка[Наименование расходного материала],MATCH(Расходка[[#This Row],[№]],Поиск_расходки[Индекс10],0)),"")</f>
        <v/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54</v>
      </c>
      <c r="N70" s="179">
        <f>IF(ISNUMBER(SEARCH('Карта учёта'!$B$20,Расходка[[#This Row],[Наименование расходного материала]])),MAX($N$1:N69)+1,0)</f>
        <v>54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/>
      </c>
      <c r="AA70" s="180" t="str">
        <f>IFERROR(INDEX(Расходка[Наименование расходного материала],MATCH(Расходка[[#This Row],[№]],Поиск_расходки[Индекс10],0)),"")</f>
        <v/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55</v>
      </c>
      <c r="N71" s="179">
        <f>IF(ISNUMBER(SEARCH('Карта учёта'!$B$20,Расходка[[#This Row],[Наименование расходного материала]])),MAX($N$1:N70)+1,0)</f>
        <v>55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/>
      </c>
      <c r="AA71" s="180" t="str">
        <f>IFERROR(INDEX(Расходка[Наименование расходного материала],MATCH(Расходка[[#This Row],[№]],Поиск_расходки[Индекс10],0)),"")</f>
        <v/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56</v>
      </c>
      <c r="N72" s="179">
        <f>IF(ISNUMBER(SEARCH('Карта учёта'!$B$20,Расходка[[#This Row],[Наименование расходного материала]])),MAX($N$1:N71)+1,0)</f>
        <v>56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/>
      </c>
      <c r="AA72" s="180" t="str">
        <f>IFERROR(INDEX(Расходка[Наименование расходного материала],MATCH(Расходка[[#This Row],[№]],Поиск_расходки[Индекс10],0)),"")</f>
        <v/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57</v>
      </c>
      <c r="N73" s="179">
        <f>IF(ISNUMBER(SEARCH('Карта учёта'!$B$20,Расходка[[#This Row],[Наименование расходного материала]])),MAX($N$1:N72)+1,0)</f>
        <v>57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/>
      </c>
      <c r="AA73" s="180" t="str">
        <f>IFERROR(INDEX(Расходка[Наименование расходного материала],MATCH(Расходка[[#This Row],[№]],Поиск_расходки[Индекс10],0)),"")</f>
        <v/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58</v>
      </c>
      <c r="N74" s="179">
        <f>IF(ISNUMBER(SEARCH('Карта учёта'!$B$20,Расходка[[#This Row],[Наименование расходного материала]])),MAX($N$1:N73)+1,0)</f>
        <v>58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/>
      </c>
      <c r="AA74" s="180" t="str">
        <f>IFERROR(INDEX(Расходка[Наименование расходного материала],MATCH(Расходка[[#This Row],[№]],Поиск_расходки[Индекс10],0)),"")</f>
        <v/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1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59</v>
      </c>
      <c r="N75" s="179">
        <f>IF(ISNUMBER(SEARCH('Карта учёта'!$B$20,Расходка[[#This Row],[Наименование расходного материала]])),MAX($N$1:N74)+1,0)</f>
        <v>59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/>
      </c>
      <c r="AA75" s="180" t="str">
        <f>IFERROR(INDEX(Расходка[Наименование расходного материала],MATCH(Расходка[[#This Row],[№]],Поиск_расходки[Индекс10],0)),"")</f>
        <v/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60</v>
      </c>
      <c r="N76" s="179">
        <f>IF(ISNUMBER(SEARCH('Карта учёта'!$B$20,Расходка[[#This Row],[Наименование расходного материала]])),MAX($N$1:N75)+1,0)</f>
        <v>60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/>
      </c>
      <c r="AA76" s="180" t="str">
        <f>IFERROR(INDEX(Расходка[Наименование расходного материала],MATCH(Расходка[[#This Row],[№]],Поиск_расходки[Индекс10],0)),"")</f>
        <v/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61</v>
      </c>
      <c r="N77" s="179">
        <f>IF(ISNUMBER(SEARCH('Карта учёта'!$B$20,Расходка[[#This Row],[Наименование расходного материала]])),MAX($N$1:N76)+1,0)</f>
        <v>61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/>
      </c>
      <c r="AA77" s="180" t="str">
        <f>IFERROR(INDEX(Расходка[Наименование расходного материала],MATCH(Расходка[[#This Row],[№]],Поиск_расходки[Индекс10],0)),"")</f>
        <v/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62</v>
      </c>
      <c r="N78" s="179">
        <f>IF(ISNUMBER(SEARCH('Карта учёта'!$B$20,Расходка[[#This Row],[Наименование расходного материала]])),MAX($N$1:N77)+1,0)</f>
        <v>62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/>
      </c>
      <c r="AA78" s="180" t="str">
        <f>IFERROR(INDEX(Расходка[Наименование расходного материала],MATCH(Расходка[[#This Row],[№]],Поиск_расходки[Индекс10],0)),"")</f>
        <v/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E79" s="179">
        <f>IF(ISNUMBER(SEARCH('Карта учёта'!$B$13,Расходка[[#This Row],[Наименование расходного материала]])),MAX($E$1:E78)+1,0)</f>
        <v>0</v>
      </c>
      <c r="F79" s="179">
        <f>IF(ISNUMBER(SEARCH('Карта учёта'!$B$14,Расходка[[#This Row],[Наименование расходного материала]])),MAX($F$1:F78)+1,0)</f>
        <v>0</v>
      </c>
      <c r="G79" s="179">
        <f>IF(ISNUMBER(SEARCH('Карта учёта'!$B$15,Расходка[[#This Row],[Наименование расходного материала]])),MAX($G$1:G78)+1,0)</f>
        <v>0</v>
      </c>
      <c r="H79" s="179">
        <f>IF(ISNUMBER(SEARCH('Карта учёта'!#REF!,Расходка[[#This Row],[Наименование расходного материала]])),MAX($H$1:H78)+1,0)</f>
        <v>0</v>
      </c>
      <c r="I79" s="179">
        <f>IF(ISNUMBER(SEARCH('Карта учёта'!#REF!,Расходка[[#This Row],[Наименование расходного материала]])),MAX($I$1:I78)+1,0)</f>
        <v>0</v>
      </c>
      <c r="J79" s="179">
        <f>IF(ISNUMBER(SEARCH('Карта учёта'!$B$16,Расходка[[#This Row],[Наименование расходного материала]])),MAX($J$1:J78)+1,0)</f>
        <v>0</v>
      </c>
      <c r="K79" s="179">
        <f>IF(ISNUMBER(SEARCH('Карта учёта'!$B$17,Расходка[[#This Row],[Наименование расходного материала]])),MAX($K$1:K78)+1,0)</f>
        <v>0</v>
      </c>
      <c r="L79" s="179">
        <f>IF(ISNUMBER(SEARCH('Карта учёта'!$B$18,Расходка[[#This Row],[Наименование расходного материала]])),MAX($L$1:L78)+1,0)</f>
        <v>0</v>
      </c>
      <c r="M79" s="179">
        <f>IF(ISNUMBER(SEARCH('Карта учёта'!$B$19,Расходка[[#This Row],[Наименование расходного материала]])),MAX($M$1:M78)+1,0)</f>
        <v>63</v>
      </c>
      <c r="N79" s="179">
        <f>IF(ISNUMBER(SEARCH('Карта учёта'!$B$20,Расходка[[#This Row],[Наименование расходного материала]])),MAX($N$1:N78)+1,0)</f>
        <v>63</v>
      </c>
      <c r="O79" s="179">
        <f>IF(ISNUMBER(SEARCH('Карта учёта'!$B$21,Расходка[[#This Row],[Наименование расходного материала]])),MAX($O$1:O78)+1,0)</f>
        <v>78</v>
      </c>
      <c r="P79" s="179">
        <f>IF(ISNUMBER(SEARCH('Карта учёта'!$B$22,Расходка[[#This Row],[Наименование расходного материала]])),MAX($P$1:P78)+1,0)</f>
        <v>78</v>
      </c>
      <c r="Q79" s="179">
        <f>IF(ISNUMBER(SEARCH('Карта учёта'!$B$23,Расходка[[#This Row],[Наименование расходного материала]])),MAX($Q$1:Q78)+1,0)</f>
        <v>78</v>
      </c>
      <c r="R79" s="180" t="str">
        <f>IFERROR(INDEX(Расходка[Наименование расходного материала],MATCH(Расходка[[#This Row],[№]],Поиск_расходки[Индекс1],0)),"")</f>
        <v/>
      </c>
      <c r="S79" s="180" t="str">
        <f>IFERROR(INDEX(Расходка[Наименование расходного материала],MATCH(Расходка[[#This Row],[№]],Поиск_расходки[Индекс2],0)),"")</f>
        <v/>
      </c>
      <c r="T79" s="180" t="str">
        <f>IFERROR(INDEX(Расходка[Наименование расходного материала],MATCH(Расходка[[#This Row],[№]],Поиск_расходки[Индекс3],0)),"")</f>
        <v/>
      </c>
      <c r="U79" s="180" t="str">
        <f>IFERROR(INDEX(Расходка[Наименование расходного материала],MATCH(Расходка[[#This Row],[№]],Поиск_расходки[Индекс4],0)),"")</f>
        <v/>
      </c>
      <c r="V79" s="180" t="str">
        <f>IFERROR(INDEX(Расходка[Наименование расходного материала],MATCH(Расходка[[#This Row],[№]],Поиск_расходки[Индекс5],0)),"")</f>
        <v/>
      </c>
      <c r="W79" s="180" t="str">
        <f>IFERROR(INDEX(Расходка[Наименование расходного материала],MATCH(Расходка[[#This Row],[№]],Поиск_расходки[Индекс6],0)),"")</f>
        <v/>
      </c>
      <c r="X79" s="180" t="str">
        <f>IFERROR(INDEX(Расходка[Наименование расходного материала],MATCH(Расходка[[#This Row],[№]],Поиск_расходки[Индекс7],0)),"")</f>
        <v/>
      </c>
      <c r="Y79" s="180" t="str">
        <f>IFERROR(INDEX(Расходка[Наименование расходного материала],MATCH(Расходка[[#This Row],[№]],Поиск_расходки[Индекс8],0)),"")</f>
        <v/>
      </c>
      <c r="Z79" s="180" t="str">
        <f>IFERROR(INDEX(Расходка[Наименование расходного материала],MATCH(Расходка[[#This Row],[№]],Поиск_расходки[Индекс9],0)),"")</f>
        <v/>
      </c>
      <c r="AA79" s="180" t="str">
        <f>IFERROR(INDEX(Расходка[Наименование расходного материала],MATCH(Расходка[[#This Row],[№]],Поиск_расходки[Индекс10],0)),"")</f>
        <v/>
      </c>
      <c r="AB79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470</v>
      </c>
    </row>
    <row r="80" spans="1:33">
      <c r="E80" s="179">
        <f>IF(ISNUMBER(SEARCH('Карта учёта'!$B$13,Расходка[[#This Row],[Наименование расходного материала]])),MAX($E$1:E79)+1,0)</f>
        <v>0</v>
      </c>
      <c r="F80" s="179">
        <f>IF(ISNUMBER(SEARCH('Карта учёта'!$B$14,Расходка[[#This Row],[Наименование расходного материала]])),MAX($F$1:F79)+1,0)</f>
        <v>0</v>
      </c>
      <c r="G80" s="179">
        <f>IF(ISNUMBER(SEARCH('Карта учёта'!$B$15,Расходка[[#This Row],[Наименование расходного материала]])),MAX($G$1:G79)+1,0)</f>
        <v>0</v>
      </c>
      <c r="H80" s="179">
        <f>IF(ISNUMBER(SEARCH('Карта учёта'!#REF!,Расходка[[#This Row],[Наименование расходного материала]])),MAX($H$1:H79)+1,0)</f>
        <v>0</v>
      </c>
      <c r="I80" s="179">
        <f>IF(ISNUMBER(SEARCH('Карта учёта'!#REF!,Расходка[[#This Row],[Наименование расходного материала]])),MAX($I$1:I79)+1,0)</f>
        <v>0</v>
      </c>
      <c r="J80" s="179">
        <f>IF(ISNUMBER(SEARCH('Карта учёта'!$B$16,Расходка[[#This Row],[Наименование расходного материала]])),MAX($J$1:J79)+1,0)</f>
        <v>0</v>
      </c>
      <c r="K80" s="179">
        <f>IF(ISNUMBER(SEARCH('Карта учёта'!$B$17,Расходка[[#This Row],[Наименование расходного материала]])),MAX($K$1:K79)+1,0)</f>
        <v>0</v>
      </c>
      <c r="L80" s="179">
        <f>IF(ISNUMBER(SEARCH('Карта учёта'!$B$18,Расходка[[#This Row],[Наименование расходного материала]])),MAX($L$1:L79)+1,0)</f>
        <v>0</v>
      </c>
      <c r="M80" s="179">
        <f>IF(ISNUMBER(SEARCH('Карта учёта'!$B$19,Расходка[[#This Row],[Наименование расходного материала]])),MAX($M$1:M79)+1,0)</f>
        <v>0</v>
      </c>
      <c r="N80" s="179">
        <f>IF(ISNUMBER(SEARCH('Карта учёта'!$B$20,Расходка[[#This Row],[Наименование расходного материала]])),MAX($N$1:N79)+1,0)</f>
        <v>0</v>
      </c>
      <c r="O80" s="179">
        <f>IF(ISNUMBER(SEARCH('Карта учёта'!$B$21,Расходка[[#This Row],[Наименование расходного материала]])),MAX($O$1:O79)+1,0)</f>
        <v>0</v>
      </c>
      <c r="P80" s="179">
        <f>IF(ISNUMBER(SEARCH('Карта учёта'!$B$22,Расходка[[#This Row],[Наименование расходного материала]])),MAX($P$1:P79)+1,0)</f>
        <v>0</v>
      </c>
      <c r="Q80" s="179">
        <f>IF(ISNUMBER(SEARCH('Карта учёта'!$B$23,Расходка[[#This Row],[Наименование расходного материала]])),MAX($Q$1:Q79)+1,0)</f>
        <v>0</v>
      </c>
      <c r="R80" s="180" t="str">
        <f>IFERROR(INDEX(Расходка[Наименование расходного материала],MATCH(Расходка[[#This Row],[№]],Поиск_расходки[Индекс1],0)),"")</f>
        <v/>
      </c>
      <c r="S80" s="180" t="str">
        <f>IFERROR(INDEX(Расходка[Наименование расходного материала],MATCH(Расходка[[#This Row],[№]],Поиск_расходки[Индекс2],0)),"")</f>
        <v/>
      </c>
      <c r="T80" s="180" t="str">
        <f>IFERROR(INDEX(Расходка[Наименование расходного материала],MATCH(Расходка[[#This Row],[№]],Поиск_расходки[Индекс3],0)),"")</f>
        <v/>
      </c>
      <c r="U80" s="180" t="str">
        <f>IFERROR(INDEX(Расходка[Наименование расходного материала],MATCH(Расходка[[#This Row],[№]],Поиск_расходки[Индекс4],0)),"")</f>
        <v/>
      </c>
      <c r="V80" s="180" t="str">
        <f>IFERROR(INDEX(Расходка[Наименование расходного материала],MATCH(Расходка[[#This Row],[№]],Поиск_расходки[Индекс5],0)),"")</f>
        <v/>
      </c>
      <c r="W80" s="180" t="str">
        <f>IFERROR(INDEX(Расходка[Наименование расходного материала],MATCH(Расходка[[#This Row],[№]],Поиск_расходки[Индекс6],0)),"")</f>
        <v/>
      </c>
      <c r="X80" s="180" t="str">
        <f>IFERROR(INDEX(Расходка[Наименование расходного материала],MATCH(Расходка[[#This Row],[№]],Поиск_расходки[Индекс7],0)),"")</f>
        <v/>
      </c>
      <c r="Y80" s="180" t="str">
        <f>IFERROR(INDEX(Расходка[Наименование расходного материала],MATCH(Расходка[[#This Row],[№]],Поиск_расходки[Индекс8],0)),"")</f>
        <v/>
      </c>
      <c r="Z80" s="180" t="str">
        <f>IFERROR(INDEX(Расходка[Наименование расходного материала],MATCH(Расходка[[#This Row],[№]],Поиск_расходки[Индекс9],0)),"")</f>
        <v/>
      </c>
      <c r="AA80" s="180" t="str">
        <f>IFERROR(INDEX(Расходка[Наименование расходного материала],MATCH(Расходка[[#This Row],[№]],Поиск_расходки[Индекс10],0)),"")</f>
        <v/>
      </c>
      <c r="AB80" s="180" t="str">
        <f>IFERROR(INDEX(Расходка[Наименование расходного материала],MATCH(Расходка[[#This Row],[№]],Поиск_расходки[Индекс11],0)),"")</f>
        <v/>
      </c>
      <c r="AC80" s="180" t="str">
        <f>IFERROR(INDEX(Расходка[Наименование расходного материала],MATCH(Расходка[[#This Row],[№]],Поиск_расходки[Индекс12],0)),"")</f>
        <v/>
      </c>
      <c r="AD80" s="18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471</v>
      </c>
    </row>
    <row r="81" spans="5:33">
      <c r="E81" s="179">
        <f>IF(ISNUMBER(SEARCH('Карта учёта'!$B$13,Расходка[[#This Row],[Наименование расходного материала]])),MAX($E$1:E80)+1,0)</f>
        <v>0</v>
      </c>
      <c r="F81" s="179">
        <f>IF(ISNUMBER(SEARCH('Карта учёта'!$B$14,Расходка[[#This Row],[Наименование расходного материала]])),MAX($F$1:F80)+1,0)</f>
        <v>0</v>
      </c>
      <c r="G81" s="179">
        <f>IF(ISNUMBER(SEARCH('Карта учёта'!$B$15,Расходка[[#This Row],[Наименование расходного материала]])),MAX($G$1:G80)+1,0)</f>
        <v>0</v>
      </c>
      <c r="H81" s="179">
        <f>IF(ISNUMBER(SEARCH('Карта учёта'!#REF!,Расходка[[#This Row],[Наименование расходного материала]])),MAX($H$1:H80)+1,0)</f>
        <v>0</v>
      </c>
      <c r="I81" s="179">
        <f>IF(ISNUMBER(SEARCH('Карта учёта'!#REF!,Расходка[[#This Row],[Наименование расходного материала]])),MAX($I$1:I80)+1,0)</f>
        <v>0</v>
      </c>
      <c r="J81" s="179">
        <f>IF(ISNUMBER(SEARCH('Карта учёта'!$B$16,Расходка[[#This Row],[Наименование расходного материала]])),MAX($J$1:J80)+1,0)</f>
        <v>0</v>
      </c>
      <c r="K81" s="179">
        <f>IF(ISNUMBER(SEARCH('Карта учёта'!$B$17,Расходка[[#This Row],[Наименование расходного материала]])),MAX($K$1:K80)+1,0)</f>
        <v>0</v>
      </c>
      <c r="L81" s="179">
        <f>IF(ISNUMBER(SEARCH('Карта учёта'!$B$18,Расходка[[#This Row],[Наименование расходного материала]])),MAX($L$1:L80)+1,0)</f>
        <v>0</v>
      </c>
      <c r="M81" s="179">
        <f>IF(ISNUMBER(SEARCH('Карта учёта'!$B$19,Расходка[[#This Row],[Наименование расходного материала]])),MAX($M$1:M80)+1,0)</f>
        <v>0</v>
      </c>
      <c r="N81" s="179">
        <f>IF(ISNUMBER(SEARCH('Карта учёта'!$B$20,Расходка[[#This Row],[Наименование расходного материала]])),MAX($N$1:N80)+1,0)</f>
        <v>0</v>
      </c>
      <c r="O81" s="179">
        <f>IF(ISNUMBER(SEARCH('Карта учёта'!$B$21,Расходка[[#This Row],[Наименование расходного материала]])),MAX($O$1:O80)+1,0)</f>
        <v>0</v>
      </c>
      <c r="P81" s="179">
        <f>IF(ISNUMBER(SEARCH('Карта учёта'!$B$22,Расходка[[#This Row],[Наименование расходного материала]])),MAX($P$1:P80)+1,0)</f>
        <v>0</v>
      </c>
      <c r="Q81" s="179">
        <f>IF(ISNUMBER(SEARCH('Карта учёта'!$B$23,Расходка[[#This Row],[Наименование расходного материала]])),MAX($Q$1:Q80)+1,0)</f>
        <v>0</v>
      </c>
      <c r="R81" s="180" t="str">
        <f>IFERROR(INDEX(Расходка[Наименование расходного материала],MATCH(Расходка[[#This Row],[№]],Поиск_расходки[Индекс1],0)),"")</f>
        <v/>
      </c>
      <c r="S81" s="180" t="str">
        <f>IFERROR(INDEX(Расходка[Наименование расходного материала],MATCH(Расходка[[#This Row],[№]],Поиск_расходки[Индекс2],0)),"")</f>
        <v/>
      </c>
      <c r="T81" s="180" t="str">
        <f>IFERROR(INDEX(Расходка[Наименование расходного материала],MATCH(Расходка[[#This Row],[№]],Поиск_расходки[Индекс3],0)),"")</f>
        <v/>
      </c>
      <c r="U81" s="180" t="str">
        <f>IFERROR(INDEX(Расходка[Наименование расходного материала],MATCH(Расходка[[#This Row],[№]],Поиск_расходки[Индекс4],0)),"")</f>
        <v/>
      </c>
      <c r="V81" s="180" t="str">
        <f>IFERROR(INDEX(Расходка[Наименование расходного материала],MATCH(Расходка[[#This Row],[№]],Поиск_расходки[Индекс5],0)),"")</f>
        <v/>
      </c>
      <c r="W81" s="180" t="str">
        <f>IFERROR(INDEX(Расходка[Наименование расходного материала],MATCH(Расходка[[#This Row],[№]],Поиск_расходки[Индекс6],0)),"")</f>
        <v/>
      </c>
      <c r="X81" s="180" t="str">
        <f>IFERROR(INDEX(Расходка[Наименование расходного материала],MATCH(Расходка[[#This Row],[№]],Поиск_расходки[Индекс7],0)),"")</f>
        <v/>
      </c>
      <c r="Y81" s="180" t="str">
        <f>IFERROR(INDEX(Расходка[Наименование расходного материала],MATCH(Расходка[[#This Row],[№]],Поиск_расходки[Индекс8],0)),"")</f>
        <v/>
      </c>
      <c r="Z81" s="180" t="str">
        <f>IFERROR(INDEX(Расходка[Наименование расходного материала],MATCH(Расходка[[#This Row],[№]],Поиск_расходки[Индекс9],0)),"")</f>
        <v/>
      </c>
      <c r="AA81" s="180" t="str">
        <f>IFERROR(INDEX(Расходка[Наименование расходного материала],MATCH(Расходка[[#This Row],[№]],Поиск_расходки[Индекс10],0)),"")</f>
        <v/>
      </c>
      <c r="AB81" s="180" t="str">
        <f>IFERROR(INDEX(Расходка[Наименование расходного материала],MATCH(Расходка[[#This Row],[№]],Поиск_расходки[Индекс11],0)),"")</f>
        <v/>
      </c>
      <c r="AC81" s="180" t="str">
        <f>IFERROR(INDEX(Расходка[Наименование расходного материала],MATCH(Расходка[[#This Row],[№]],Поиск_расходки[Индекс12],0)),"")</f>
        <v/>
      </c>
      <c r="AD81" s="18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472</v>
      </c>
    </row>
    <row r="82" spans="5:33">
      <c r="E82" s="179">
        <f>IF(ISNUMBER(SEARCH('Карта учёта'!$B$13,Расходка[[#This Row],[Наименование расходного материала]])),MAX($E$1:E81)+1,0)</f>
        <v>0</v>
      </c>
      <c r="F82" s="179">
        <f>IF(ISNUMBER(SEARCH('Карта учёта'!$B$14,Расходка[[#This Row],[Наименование расходного материала]])),MAX($F$1:F81)+1,0)</f>
        <v>0</v>
      </c>
      <c r="G82" s="179">
        <f>IF(ISNUMBER(SEARCH('Карта учёта'!$B$15,Расходка[[#This Row],[Наименование расходного материала]])),MAX($G$1:G81)+1,0)</f>
        <v>0</v>
      </c>
      <c r="H82" s="179">
        <f>IF(ISNUMBER(SEARCH('Карта учёта'!#REF!,Расходка[[#This Row],[Наименование расходного материала]])),MAX($H$1:H81)+1,0)</f>
        <v>0</v>
      </c>
      <c r="I82" s="179">
        <f>IF(ISNUMBER(SEARCH('Карта учёта'!#REF!,Расходка[[#This Row],[Наименование расходного материала]])),MAX($I$1:I81)+1,0)</f>
        <v>0</v>
      </c>
      <c r="J82" s="179">
        <f>IF(ISNUMBER(SEARCH('Карта учёта'!$B$16,Расходка[[#This Row],[Наименование расходного материала]])),MAX($J$1:J81)+1,0)</f>
        <v>0</v>
      </c>
      <c r="K82" s="179">
        <f>IF(ISNUMBER(SEARCH('Карта учёта'!$B$17,Расходка[[#This Row],[Наименование расходного материала]])),MAX($K$1:K81)+1,0)</f>
        <v>0</v>
      </c>
      <c r="L82" s="179">
        <f>IF(ISNUMBER(SEARCH('Карта учёта'!$B$18,Расходка[[#This Row],[Наименование расходного материала]])),MAX($L$1:L81)+1,0)</f>
        <v>0</v>
      </c>
      <c r="M82" s="179">
        <f>IF(ISNUMBER(SEARCH('Карта учёта'!$B$19,Расходка[[#This Row],[Наименование расходного материала]])),MAX($M$1:M81)+1,0)</f>
        <v>0</v>
      </c>
      <c r="N82" s="179">
        <f>IF(ISNUMBER(SEARCH('Карта учёта'!$B$20,Расходка[[#This Row],[Наименование расходного материала]])),MAX($N$1:N81)+1,0)</f>
        <v>0</v>
      </c>
      <c r="O82" s="179">
        <f>IF(ISNUMBER(SEARCH('Карта учёта'!$B$21,Расходка[[#This Row],[Наименование расходного материала]])),MAX($O$1:O81)+1,0)</f>
        <v>0</v>
      </c>
      <c r="P82" s="179">
        <f>IF(ISNUMBER(SEARCH('Карта учёта'!$B$22,Расходка[[#This Row],[Наименование расходного материала]])),MAX($P$1:P81)+1,0)</f>
        <v>0</v>
      </c>
      <c r="Q82" s="179">
        <f>IF(ISNUMBER(SEARCH('Карта учёта'!$B$23,Расходка[[#This Row],[Наименование расходного материала]])),MAX($Q$1:Q81)+1,0)</f>
        <v>0</v>
      </c>
      <c r="R82" s="180" t="str">
        <f>IFERROR(INDEX(Расходка[Наименование расходного материала],MATCH(Расходка[[#This Row],[№]],Поиск_расходки[Индекс1],0)),"")</f>
        <v/>
      </c>
      <c r="S82" s="180" t="str">
        <f>IFERROR(INDEX(Расходка[Наименование расходного материала],MATCH(Расходка[[#This Row],[№]],Поиск_расходки[Индекс2],0)),"")</f>
        <v/>
      </c>
      <c r="T82" s="180" t="str">
        <f>IFERROR(INDEX(Расходка[Наименование расходного материала],MATCH(Расходка[[#This Row],[№]],Поиск_расходки[Индекс3],0)),"")</f>
        <v/>
      </c>
      <c r="U82" s="180" t="str">
        <f>IFERROR(INDEX(Расходка[Наименование расходного материала],MATCH(Расходка[[#This Row],[№]],Поиск_расходки[Индекс4],0)),"")</f>
        <v/>
      </c>
      <c r="V82" s="180" t="str">
        <f>IFERROR(INDEX(Расходка[Наименование расходного материала],MATCH(Расходка[[#This Row],[№]],Поиск_расходки[Индекс5],0)),"")</f>
        <v/>
      </c>
      <c r="W82" s="180" t="str">
        <f>IFERROR(INDEX(Расходка[Наименование расходного материала],MATCH(Расходка[[#This Row],[№]],Поиск_расходки[Индекс6],0)),"")</f>
        <v/>
      </c>
      <c r="X82" s="180" t="str">
        <f>IFERROR(INDEX(Расходка[Наименование расходного материала],MATCH(Расходка[[#This Row],[№]],Поиск_расходки[Индекс7],0)),"")</f>
        <v/>
      </c>
      <c r="Y82" s="180" t="str">
        <f>IFERROR(INDEX(Расходка[Наименование расходного материала],MATCH(Расходка[[#This Row],[№]],Поиск_расходки[Индекс8],0)),"")</f>
        <v/>
      </c>
      <c r="Z82" s="180" t="str">
        <f>IFERROR(INDEX(Расходка[Наименование расходного материала],MATCH(Расходка[[#This Row],[№]],Поиск_расходки[Индекс9],0)),"")</f>
        <v/>
      </c>
      <c r="AA82" s="180" t="str">
        <f>IFERROR(INDEX(Расходка[Наименование расходного материала],MATCH(Расходка[[#This Row],[№]],Поиск_расходки[Индекс10],0)),"")</f>
        <v/>
      </c>
      <c r="AB82" s="180" t="str">
        <f>IFERROR(INDEX(Расходка[Наименование расходного материала],MATCH(Расходка[[#This Row],[№]],Поиск_расходки[Индекс11],0)),"")</f>
        <v/>
      </c>
      <c r="AC82" s="180" t="str">
        <f>IFERROR(INDEX(Расходка[Наименование расходного материала],MATCH(Расходка[[#This Row],[№]],Поиск_расходки[Индекс12],0)),"")</f>
        <v/>
      </c>
      <c r="AD82" s="18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473</v>
      </c>
    </row>
    <row r="83" spans="5:33">
      <c r="E83" s="179">
        <f>IF(ISNUMBER(SEARCH('Карта учёта'!$B$13,Расходка[[#This Row],[Наименование расходного материала]])),MAX($E$1:E82)+1,0)</f>
        <v>0</v>
      </c>
      <c r="F83" s="179">
        <f>IF(ISNUMBER(SEARCH('Карта учёта'!$B$14,Расходка[[#This Row],[Наименование расходного материала]])),MAX($F$1:F82)+1,0)</f>
        <v>0</v>
      </c>
      <c r="G83" s="179">
        <f>IF(ISNUMBER(SEARCH('Карта учёта'!$B$15,Расходка[[#This Row],[Наименование расходного материала]])),MAX($G$1:G82)+1,0)</f>
        <v>0</v>
      </c>
      <c r="H83" s="179">
        <f>IF(ISNUMBER(SEARCH('Карта учёта'!#REF!,Расходка[[#This Row],[Наименование расходного материала]])),MAX($H$1:H82)+1,0)</f>
        <v>0</v>
      </c>
      <c r="I83" s="179">
        <f>IF(ISNUMBER(SEARCH('Карта учёта'!#REF!,Расходка[[#This Row],[Наименование расходного материала]])),MAX($I$1:I82)+1,0)</f>
        <v>0</v>
      </c>
      <c r="J83" s="179">
        <f>IF(ISNUMBER(SEARCH('Карта учёта'!$B$16,Расходка[[#This Row],[Наименование расходного материала]])),MAX($J$1:J82)+1,0)</f>
        <v>0</v>
      </c>
      <c r="K83" s="179">
        <f>IF(ISNUMBER(SEARCH('Карта учёта'!$B$17,Расходка[[#This Row],[Наименование расходного материала]])),MAX($K$1:K82)+1,0)</f>
        <v>0</v>
      </c>
      <c r="L83" s="179">
        <f>IF(ISNUMBER(SEARCH('Карта учёта'!$B$18,Расходка[[#This Row],[Наименование расходного материала]])),MAX($L$1:L82)+1,0)</f>
        <v>0</v>
      </c>
      <c r="M83" s="179">
        <f>IF(ISNUMBER(SEARCH('Карта учёта'!$B$19,Расходка[[#This Row],[Наименование расходного материала]])),MAX($M$1:M82)+1,0)</f>
        <v>0</v>
      </c>
      <c r="N83" s="179">
        <f>IF(ISNUMBER(SEARCH('Карта учёта'!$B$20,Расходка[[#This Row],[Наименование расходного материала]])),MAX($N$1:N82)+1,0)</f>
        <v>0</v>
      </c>
      <c r="O83" s="179">
        <f>IF(ISNUMBER(SEARCH('Карта учёта'!$B$21,Расходка[[#This Row],[Наименование расходного материала]])),MAX($O$1:O82)+1,0)</f>
        <v>0</v>
      </c>
      <c r="P83" s="179">
        <f>IF(ISNUMBER(SEARCH('Карта учёта'!$B$22,Расходка[[#This Row],[Наименование расходного материала]])),MAX($P$1:P82)+1,0)</f>
        <v>0</v>
      </c>
      <c r="Q83" s="179">
        <f>IF(ISNUMBER(SEARCH('Карта учёта'!$B$23,Расходка[[#This Row],[Наименование расходного материала]])),MAX($Q$1:Q82)+1,0)</f>
        <v>0</v>
      </c>
      <c r="R83" s="180" t="str">
        <f>IFERROR(INDEX(Расходка[Наименование расходного материала],MATCH(Расходка[[#This Row],[№]],Поиск_расходки[Индекс1],0)),"")</f>
        <v/>
      </c>
      <c r="S83" s="180" t="str">
        <f>IFERROR(INDEX(Расходка[Наименование расходного материала],MATCH(Расходка[[#This Row],[№]],Поиск_расходки[Индекс2],0)),"")</f>
        <v/>
      </c>
      <c r="T83" s="180" t="str">
        <f>IFERROR(INDEX(Расходка[Наименование расходного материала],MATCH(Расходка[[#This Row],[№]],Поиск_расходки[Индекс3],0)),"")</f>
        <v/>
      </c>
      <c r="U83" s="180" t="str">
        <f>IFERROR(INDEX(Расходка[Наименование расходного материала],MATCH(Расходка[[#This Row],[№]],Поиск_расходки[Индекс4],0)),"")</f>
        <v/>
      </c>
      <c r="V83" s="180" t="str">
        <f>IFERROR(INDEX(Расходка[Наименование расходного материала],MATCH(Расходка[[#This Row],[№]],Поиск_расходки[Индекс5],0)),"")</f>
        <v/>
      </c>
      <c r="W83" s="180" t="str">
        <f>IFERROR(INDEX(Расходка[Наименование расходного материала],MATCH(Расходка[[#This Row],[№]],Поиск_расходки[Индекс6],0)),"")</f>
        <v/>
      </c>
      <c r="X83" s="180" t="str">
        <f>IFERROR(INDEX(Расходка[Наименование расходного материала],MATCH(Расходка[[#This Row],[№]],Поиск_расходки[Индекс7],0)),"")</f>
        <v/>
      </c>
      <c r="Y83" s="180" t="str">
        <f>IFERROR(INDEX(Расходка[Наименование расходного материала],MATCH(Расходка[[#This Row],[№]],Поиск_расходки[Индекс8],0)),"")</f>
        <v/>
      </c>
      <c r="Z83" s="180" t="str">
        <f>IFERROR(INDEX(Расходка[Наименование расходного материала],MATCH(Расходка[[#This Row],[№]],Поиск_расходки[Индекс9],0)),"")</f>
        <v/>
      </c>
      <c r="AA83" s="180" t="str">
        <f>IFERROR(INDEX(Расходка[Наименование расходного материала],MATCH(Расходка[[#This Row],[№]],Поиск_расходки[Индекс10],0)),"")</f>
        <v/>
      </c>
      <c r="AB83" s="180" t="str">
        <f>IFERROR(INDEX(Расходка[Наименование расходного материала],MATCH(Расходка[[#This Row],[№]],Поиск_расходки[Индекс11],0)),"")</f>
        <v/>
      </c>
      <c r="AC83" s="180" t="str">
        <f>IFERROR(INDEX(Расходка[Наименование расходного материала],MATCH(Расходка[[#This Row],[№]],Поиск_расходки[Индекс12],0)),"")</f>
        <v/>
      </c>
      <c r="AD83" s="180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474</v>
      </c>
    </row>
    <row r="84" spans="5:33">
      <c r="AF84" s="4" t="s">
        <v>6</v>
      </c>
      <c r="AG84" s="4" t="s">
        <v>425</v>
      </c>
    </row>
    <row r="85" spans="5:33">
      <c r="AF85" s="4" t="s">
        <v>6</v>
      </c>
      <c r="AG85" s="4" t="s">
        <v>426</v>
      </c>
    </row>
    <row r="86" spans="5:33">
      <c r="AF86" s="4" t="s">
        <v>6</v>
      </c>
      <c r="AG86" s="4" t="s">
        <v>475</v>
      </c>
    </row>
    <row r="87" spans="5:33">
      <c r="AF87" s="4" t="s">
        <v>6</v>
      </c>
      <c r="AG87" s="4" t="s">
        <v>476</v>
      </c>
    </row>
    <row r="88" spans="5:33">
      <c r="AF88" s="4" t="s">
        <v>6</v>
      </c>
      <c r="AG88" s="4" t="s">
        <v>477</v>
      </c>
    </row>
    <row r="89" spans="5:33">
      <c r="AF89" s="4" t="s">
        <v>6</v>
      </c>
      <c r="AG89" s="4" t="s">
        <v>478</v>
      </c>
    </row>
    <row r="90" spans="5:33">
      <c r="AF90" s="4" t="s">
        <v>6</v>
      </c>
      <c r="AG90" s="4" t="s">
        <v>479</v>
      </c>
    </row>
    <row r="91" spans="5:33">
      <c r="AF91" s="4" t="s">
        <v>6</v>
      </c>
      <c r="AG91" s="4" t="s">
        <v>480</v>
      </c>
    </row>
    <row r="92" spans="5:33">
      <c r="AF92" s="4" t="s">
        <v>6</v>
      </c>
      <c r="AG92" s="4" t="s">
        <v>481</v>
      </c>
    </row>
    <row r="93" spans="5:33">
      <c r="AF93" s="4" t="s">
        <v>6</v>
      </c>
      <c r="AG93" s="4" t="s">
        <v>482</v>
      </c>
    </row>
    <row r="94" spans="5:33">
      <c r="AF94" s="4" t="s">
        <v>6</v>
      </c>
      <c r="AG94" s="4" t="s">
        <v>429</v>
      </c>
    </row>
    <row r="95" spans="5:33">
      <c r="AF95" s="4" t="s">
        <v>6</v>
      </c>
      <c r="AG95" s="4" t="s">
        <v>430</v>
      </c>
    </row>
    <row r="96" spans="5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2025-01-24T14:18:50Z</cp:lastPrinted>
  <dcterms:created xsi:type="dcterms:W3CDTF">2015-06-05T18:19:34Z</dcterms:created>
  <dcterms:modified xsi:type="dcterms:W3CDTF">2025-01-24T14:27:40Z</dcterms:modified>
</cp:coreProperties>
</file>