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F80" i="1"/>
  <c r="F81" i="1"/>
  <c r="F82" i="1"/>
  <c r="F83" i="1"/>
  <c r="G80" i="1"/>
  <c r="G81" i="1"/>
  <c r="G82" i="1"/>
  <c r="G83" i="1"/>
  <c r="H79" i="1"/>
  <c r="H80" i="1"/>
  <c r="H81" i="1"/>
  <c r="H82" i="1"/>
  <c r="H83" i="1"/>
  <c r="I79" i="1"/>
  <c r="I80" i="1"/>
  <c r="I81" i="1"/>
  <c r="I82" i="1"/>
  <c r="I83" i="1"/>
  <c r="J80" i="1"/>
  <c r="J81" i="1"/>
  <c r="J82" i="1"/>
  <c r="J83" i="1"/>
  <c r="K80" i="1"/>
  <c r="K81" i="1"/>
  <c r="K82" i="1"/>
  <c r="K83" i="1"/>
  <c r="L80" i="1"/>
  <c r="L81" i="1"/>
  <c r="L82" i="1"/>
  <c r="L83" i="1"/>
  <c r="M80" i="1"/>
  <c r="M81" i="1"/>
  <c r="M82" i="1"/>
  <c r="M83" i="1"/>
  <c r="N80" i="1"/>
  <c r="N81" i="1"/>
  <c r="N82" i="1"/>
  <c r="N83" i="1"/>
  <c r="O80" i="1"/>
  <c r="O81" i="1"/>
  <c r="O82" i="1"/>
  <c r="O83" i="1"/>
  <c r="P79" i="1"/>
  <c r="P80" i="1"/>
  <c r="P81" i="1"/>
  <c r="P82" i="1"/>
  <c r="P83" i="1"/>
  <c r="Q79" i="1"/>
  <c r="Q80" i="1"/>
  <c r="Q81" i="1"/>
  <c r="Q82" i="1"/>
  <c r="Q83" i="1"/>
  <c r="R79" i="1"/>
  <c r="R80" i="1"/>
  <c r="R81" i="1"/>
  <c r="R82" i="1"/>
  <c r="R83" i="1"/>
  <c r="S80" i="1"/>
  <c r="S81" i="1"/>
  <c r="S82" i="1"/>
  <c r="S83" i="1"/>
  <c r="T80" i="1"/>
  <c r="T81" i="1"/>
  <c r="T82" i="1"/>
  <c r="T83" i="1"/>
  <c r="U79" i="1"/>
  <c r="U80" i="1"/>
  <c r="U81" i="1"/>
  <c r="U82" i="1"/>
  <c r="U83" i="1"/>
  <c r="V79" i="1"/>
  <c r="V80" i="1"/>
  <c r="V81" i="1"/>
  <c r="V82" i="1"/>
  <c r="V83" i="1"/>
  <c r="W80" i="1"/>
  <c r="W81" i="1"/>
  <c r="W82" i="1"/>
  <c r="W83" i="1"/>
  <c r="X80" i="1"/>
  <c r="X81" i="1"/>
  <c r="X82" i="1"/>
  <c r="X83" i="1"/>
  <c r="Y80" i="1"/>
  <c r="Y81" i="1"/>
  <c r="Y82" i="1"/>
  <c r="Y83" i="1"/>
  <c r="Z80" i="1"/>
  <c r="Z81" i="1"/>
  <c r="Z82" i="1"/>
  <c r="Z83" i="1"/>
  <c r="AA80" i="1"/>
  <c r="AA81" i="1"/>
  <c r="AA82" i="1"/>
  <c r="AA83" i="1"/>
  <c r="AB80" i="1"/>
  <c r="AB81" i="1"/>
  <c r="AB82" i="1"/>
  <c r="AB83" i="1"/>
  <c r="AC79" i="1"/>
  <c r="AC80" i="1"/>
  <c r="AC81" i="1"/>
  <c r="AC82" i="1"/>
  <c r="AC83" i="1"/>
  <c r="AD79" i="1"/>
  <c r="AD80" i="1"/>
  <c r="AD81" i="1"/>
  <c r="AD82" i="1"/>
  <c r="AD83" i="1"/>
  <c r="A65" i="1"/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O75" i="1" s="1"/>
  <c r="Q76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O76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AC16" i="1"/>
  <c r="M36" i="1"/>
  <c r="AC22" i="1"/>
  <c r="O78" i="1" l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K51" i="1"/>
  <c r="G50" i="1"/>
  <c r="AD38" i="1"/>
  <c r="N44" i="1"/>
  <c r="AB43" i="1"/>
  <c r="L38" i="1"/>
  <c r="L39" i="1" s="1"/>
  <c r="AB33" i="1"/>
  <c r="M37" i="1"/>
  <c r="AB65" i="1" l="1"/>
  <c r="O79" i="1"/>
  <c r="AB76" i="1"/>
  <c r="AB6" i="1"/>
  <c r="AB63" i="1"/>
  <c r="AB74" i="1"/>
  <c r="AB4" i="1"/>
  <c r="AB57" i="1"/>
  <c r="AB68" i="1"/>
  <c r="AB75" i="1"/>
  <c r="AB5" i="1"/>
  <c r="AB64" i="1"/>
  <c r="AB39" i="1"/>
  <c r="AB41" i="1"/>
  <c r="AB30" i="1"/>
  <c r="AB71" i="1"/>
  <c r="AB61" i="1"/>
  <c r="AB56" i="1"/>
  <c r="AB25" i="1"/>
  <c r="AB21" i="1"/>
  <c r="AB40" i="1"/>
  <c r="AB13" i="1"/>
  <c r="AB78" i="1"/>
  <c r="AB79" i="1"/>
  <c r="AB62" i="1"/>
  <c r="AB16" i="1"/>
  <c r="AB58" i="1"/>
  <c r="AB22" i="1"/>
  <c r="AB34" i="1"/>
  <c r="AB59" i="1"/>
  <c r="AB37" i="1"/>
  <c r="AB19" i="1"/>
  <c r="AB60" i="1"/>
  <c r="AB67" i="1"/>
  <c r="AB17" i="1"/>
  <c r="AB31" i="1"/>
  <c r="AB18" i="1"/>
  <c r="AB36" i="1"/>
  <c r="AB42" i="1"/>
  <c r="AB66" i="1"/>
  <c r="AB15" i="1"/>
  <c r="AB29" i="1"/>
  <c r="AB7" i="1"/>
  <c r="AB32" i="1"/>
  <c r="AB70" i="1"/>
  <c r="AB26" i="1"/>
  <c r="AB72" i="1"/>
  <c r="AB69" i="1"/>
  <c r="AB73" i="1"/>
  <c r="AB77" i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9" i="1" l="1"/>
  <c r="S79" i="1" s="1"/>
  <c r="S70" i="1"/>
  <c r="S77" i="1"/>
  <c r="S44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S45" i="1" l="1"/>
  <c r="S52" i="1"/>
  <c r="S71" i="1"/>
  <c r="S3" i="1"/>
  <c r="S66" i="1"/>
  <c r="U38" i="1"/>
  <c r="U15" i="1"/>
  <c r="U18" i="1"/>
  <c r="U32" i="1"/>
  <c r="U17" i="1"/>
  <c r="U13" i="1"/>
  <c r="U7" i="1"/>
  <c r="U20" i="1"/>
  <c r="U24" i="1"/>
  <c r="U30" i="1"/>
  <c r="U12" i="1"/>
  <c r="U31" i="1"/>
  <c r="U5" i="1"/>
  <c r="U8" i="1"/>
  <c r="U28" i="1"/>
  <c r="U6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J79" i="1" s="1"/>
  <c r="W79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68" i="1"/>
  <c r="V72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3" i="1" l="1"/>
  <c r="V9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K79" i="1" s="1"/>
  <c r="X35" i="1" s="1"/>
  <c r="AC68" i="1"/>
  <c r="G74" i="1"/>
  <c r="G75" i="1" s="1"/>
  <c r="P74" i="1"/>
  <c r="N72" i="1"/>
  <c r="L67" i="1"/>
  <c r="M61" i="1"/>
  <c r="X25" i="1" l="1"/>
  <c r="X21" i="1"/>
  <c r="X58" i="1"/>
  <c r="X19" i="1"/>
  <c r="X27" i="1"/>
  <c r="X63" i="1"/>
  <c r="X18" i="1"/>
  <c r="X31" i="1"/>
  <c r="X28" i="1"/>
  <c r="X22" i="1"/>
  <c r="X20" i="1"/>
  <c r="X79" i="1"/>
  <c r="X49" i="1"/>
  <c r="X2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P76" i="1"/>
  <c r="N75" i="1"/>
  <c r="L69" i="1"/>
  <c r="M63" i="1"/>
  <c r="M64" i="1" s="1"/>
  <c r="M65" i="1" s="1"/>
  <c r="M66" i="1" s="1"/>
  <c r="T3" i="1" l="1"/>
  <c r="G79" i="1"/>
  <c r="T79" i="1" s="1"/>
  <c r="T77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T75" i="1" l="1"/>
  <c r="P78" i="1"/>
  <c r="AC78" i="1" s="1"/>
  <c r="N77" i="1"/>
  <c r="AC75" i="1"/>
  <c r="AC76" i="1"/>
  <c r="L71" i="1"/>
  <c r="L72" i="1" s="1"/>
  <c r="L73" i="1" s="1"/>
  <c r="M68" i="1"/>
  <c r="AC77" i="1" l="1"/>
  <c r="N78" i="1"/>
  <c r="N79" i="1" s="1"/>
  <c r="AA79" i="1" s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M72" i="1"/>
  <c r="L79" i="1" l="1"/>
  <c r="Y78" i="1"/>
  <c r="Y2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Y18" i="1" l="1"/>
  <c r="Y16" i="1"/>
  <c r="Y23" i="1"/>
  <c r="Y24" i="1"/>
  <c r="Y12" i="1"/>
  <c r="Y5" i="1"/>
  <c r="Y19" i="1"/>
  <c r="Y26" i="1"/>
  <c r="Y6" i="1"/>
  <c r="Y21" i="1"/>
  <c r="Y22" i="1"/>
  <c r="Y13" i="1"/>
  <c r="Y7" i="1"/>
  <c r="Y79" i="1"/>
  <c r="Y53" i="1"/>
  <c r="Y75" i="1"/>
  <c r="Y44" i="1"/>
  <c r="Y70" i="1"/>
  <c r="Y64" i="1"/>
  <c r="Y58" i="1"/>
  <c r="Y65" i="1"/>
  <c r="Y31" i="1"/>
  <c r="Y37" i="1"/>
  <c r="Y28" i="1"/>
  <c r="Y29" i="1"/>
  <c r="Y73" i="1"/>
  <c r="Y39" i="1"/>
  <c r="Y50" i="1"/>
  <c r="Y57" i="1"/>
  <c r="Y38" i="1"/>
  <c r="Y42" i="1"/>
  <c r="Y69" i="1"/>
  <c r="Y61" i="1"/>
  <c r="Y72" i="1"/>
  <c r="Y32" i="1"/>
  <c r="Y33" i="1"/>
  <c r="Y54" i="1"/>
  <c r="M74" i="1"/>
  <c r="M75" i="1" s="1"/>
  <c r="M76" i="1" l="1"/>
  <c r="M77" i="1" l="1"/>
  <c r="M78" i="1" l="1"/>
  <c r="M79" i="1" s="1"/>
  <c r="Z78" i="1" l="1"/>
  <c r="Z79" i="1"/>
  <c r="Z2" i="1"/>
  <c r="Z75" i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<sst xmlns="http://schemas.openxmlformats.org/spreadsheetml/2006/main" count="895" uniqueCount="541">
  <si>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</si>
  <si>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</si>
  <si>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</si>
  <si>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</si>
  <si>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</si>
  <si>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</si>
  <si>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</si>
  <si>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</si>
  <si>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</si>
  <si>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</si>
  <si>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</si>
  <si>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</si>
  <si>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</si>
  <si>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</si>
  <si>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</si>
  <si>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</si>
  <si>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</si>
  <si>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</si>
  <si>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</si>
  <si>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</si>
  <si>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</si>
  <si>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</si>
  <si>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</si>
  <si>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</si>
  <si>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</si>
  <si>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</si>
  <si>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</si>
  <si>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</si>
  <si>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</si>
  <si>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</si>
  <si>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</si>
  <si>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</si>
  <si>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</si>
  <si>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</si>
  <si>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</si>
  <si>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</si>
  <si>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</si>
  <si>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</si>
  <si>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</si>
  <si>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</si>
  <si>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</si>
  <si>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</si>
  <si>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</si>
  <si>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</si>
  <si>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</si>
  <si>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</si>
  <si>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</si>
  <si>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</si>
  <si>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</si>
  <si>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</si>
  <si>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</si>
  <si>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</si>
  <si>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</si>
  <si>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</si>
  <si>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</si>
  <si>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</si>
  <si>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</si>
  <si>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</si>
  <si>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</si>
  <si>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</si>
  <si>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</si>
  <si>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</si>
  <si>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</si>
  <si>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</si>
  <si>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</si>
  <si>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</si>
  <si>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</si>
  <si>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</si>
  <si>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</si>
  <si>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</si>
  <si>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</si>
  <si>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</si>
  <si>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</si>
  <si>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</si>
  <si>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</si>
  <si>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</si>
  <si>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</si>
  <si>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</si>
  <si>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</si>
  <si>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</si>
  <si>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</si>
  <si>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</si>
  <si>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</si>
  <si>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</si>
  <si>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</si>
  <si>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</si>
  <si>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</si>
  <si>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</si>
  <si>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</si>
  <si>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</si>
  <si>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</si>
  <si>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</si>
  <si>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</si>
  <si>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</si>
  <si>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</si>
  <si>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</si>
  <si>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</si>
  <si>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</si>
  <si>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</si>
  <si>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</si>
  <si>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</si>
  <si>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</si>
  <si>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</si>
  <si>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</si>
  <si>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</si>
  <si>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</si>
  <si>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</si>
  <si>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</si>
  <si>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</si>
  <si>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</si>
  <si>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</si>
  <si>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</si>
  <si>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</si>
  <si>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</si>
  <si>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</si>
  <si>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</si>
  <si>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</si>
  <si>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</si>
  <si>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</si>
  <si>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</si>
  <si>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</si>
  <si>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</si>
  <si>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</si>
  <si>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</si>
  <si>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</si>
  <si>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</si>
  <si>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</si>
  <si>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</si>
  <si>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</si>
  <si>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</si>
  <si>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</si>
  <si>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</si>
  <si>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</si>
  <si>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</si>
  <si>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</si>
  <si>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</si>
  <si>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</si>
  <si>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</si>
  <si>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</si>
  <si>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</si>
  <si>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</si>
  <si>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</si>
  <si>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</si>
  <si>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</si>
  <si>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</si>
  <si>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</si>
  <si>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</si>
  <si>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</si>
  <si>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</si>
  <si>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</si>
  <si>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</si>
  <si>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</si>
  <si>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</si>
  <si>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</si>
  <si>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</si>
  <si>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</si>
  <si>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</si>
  <si>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</si>
  <si>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</si>
  <si>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</si>
  <si>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</si>
  <si>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</si>
  <si>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</si>
  <si>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</si>
  <si>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</si>
  <si>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</si>
  <si>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</si>
  <si>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</si>
  <si>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</si>
  <si>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</si>
  <si>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</si>
  <si>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</si>
  <si>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</si>
  <si>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</si>
  <si>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</si>
  <si>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</si>
  <si>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</si>
  <si>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</si>
  <si>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</si>
  <si>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</si>
  <si>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</si>
  <si>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</si>
  <si>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</si>
  <si>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</si>
  <si>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</si>
  <si>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</si>
  <si>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</si>
  <si>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</si>
  <si>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</si>
  <si>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</si>
  <si>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</si>
  <si>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</si>
  <si>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</si>
  <si>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</si>
  <si>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</si>
  <si>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</si>
  <si>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</si>
  <si>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</si>
  <si>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</si>
  <si>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</si>
  <si>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</si>
  <si>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</si>
  <si>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</si>
  <si>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</si>
  <si>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</si>
  <si>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</si>
  <si>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</si>
  <si>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</si>
  <si>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</si>
  <si>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</si>
  <si>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</si>
  <si>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</si>
  <si>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</si>
  <si>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</si>
  <si>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</si>
  <si>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</si>
  <si>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</si>
  <si>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</si>
  <si>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</si>
  <si>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</si>
  <si>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</si>
  <si>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</si>
  <si>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</si>
  <si>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</si>
  <si>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</si>
  <si>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</si>
  <si>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</si>
  <si>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</si>
  <si>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</si>
  <si>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</si>
  <si>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</si>
  <si>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</si>
  <si>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</si>
  <si>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</si>
  <si>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</si>
  <si>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</si>
  <si>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</si>
  <si>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</si>
  <si>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</si>
  <si>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</si>
  <si>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</si>
  <si>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</si>
  <si>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</si>
  <si>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</si>
  <si>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</si>
  <si>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</si>
  <si>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</si>
  <si>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</si>
  <si>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</si>
  <si>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</si>
  <si>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</si>
  <si>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</si>
  <si>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</si>
  <si>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</si>
  <si>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</si>
  <si>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</si>
  <si>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</si>
  <si>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</si>
  <si>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</si>
  <si>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</si>
  <si>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</si>
  <si>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</si>
  <si>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</si>
  <si>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</si>
  <si>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</si>
  <si>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</si>
  <si>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</si>
  <si>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</si>
  <si>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</si>
  <si>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</si>
  <si>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</si>
  <si>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</si>
  <si>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</si>
  <si>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</si>
  <si>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</si>
  <si>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</si>
  <si>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</si>
  <si>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</si>
  <si>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</si>
  <si>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</si>
  <si>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</si>
  <si>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</si>
  <si>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</si>
  <si>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</si>
  <si>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</si>
  <si>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</si>
  <si>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</si>
  <si>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</si>
  <si>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</si>
  <si>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</si>
  <si>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</si>
  <si>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</si>
  <si>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</si>
  <si>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</si>
  <si>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</si>
  <si>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</si>
  <si>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</si>
  <si>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</si>
  <si>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</si>
  <si>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</si>
  <si>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</si>
  <si>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</si>
  <si>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</si>
  <si>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</si>
  <si>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</si>
  <si>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</si>
  <si>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</si>
  <si>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</si>
  <si>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</si>
  <si>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</si>
  <si>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</si>
  <si>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</si>
  <si>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</si>
  <si>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</si>
  <si>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</si>
  <si>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</si>
  <si>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</si>
  <si>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</si>
  <si>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</si>
  <si>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</si>
  <si>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</si>
  <si>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</si>
  <si>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</si>
  <si>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</si>
  <si>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</si>
  <si>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</si>
  <si>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</si>
  <si>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</si>
  <si>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</si>
  <si>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</si>
  <si>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</si>
  <si>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</si>
  <si>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</si>
  <si>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</si>
  <si>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</si>
  <si>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</si>
  <si>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</si>
  <si>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</si>
  <si>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</si>
  <si>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</si>
  <si>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</si>
  <si>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</si>
  <si>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</si>
  <si>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</si>
  <si>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</si>
  <si>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</si>
  <si>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</si>
  <si>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</si>
  <si>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</si>
  <si>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</si>
  <si>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</si>
  <si>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</si>
  <si>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</si>
  <si>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</si>
  <si>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</si>
  <si>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</si>
  <si>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</si>
  <si>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</si>
  <si>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</si>
  <si>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</si>
  <si>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</si>
  <si>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</si>
  <si>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</si>
  <si>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</si>
  <si>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</si>
  <si>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</si>
  <si>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</si>
  <si>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</si>
  <si>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</si>
  <si>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</si>
  <si>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</si>
  <si>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</si>
  <si>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</si>
  <si>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</si>
  <si>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</si>
  <si>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</si>
  <si>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</si>
  <si>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</si>
  <si>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</si>
  <si>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</si>
  <si>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</si>
  <si>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</si>
  <si>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</si>
  <si>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</si>
  <si>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</si>
  <si>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</si>
  <si>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</si>
  <si>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</si>
  <si>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</si>
  <si>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</si>
  <si>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</si>
  <si>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</si>
  <si>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</si>
  <si>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</si>
  <si>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</si>
  <si>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</si>
  <si>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</si>
  <si>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</si>
  <si>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</si>
  <si>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</si>
  <si>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</si>
  <si>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</si>
  <si>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</si>
  <si>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</si>
  <si>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</si>
  <si>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</si>
  <si>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</si>
  <si>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</si>
  <si>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</si>
  <si>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</si>
  <si>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</si>
  <si>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</si>
  <si>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</si>
  <si>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</si>
  <si>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</si>
  <si>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</si>
  <si>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</si>
  <si>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</si>
  <si>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</si>
  <si>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</si>
  <si>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</si>
  <si>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</si>
  <si>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</si>
  <si>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</si>
  <si>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</si>
  <si>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</si>
  <si>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</si>
  <si>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</si>
  <si>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</si>
  <si>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</si>
  <si>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</si>
  <si>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</si>
  <si>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</si>
  <si>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</si>
  <si>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</si>
  <si>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</si>
  <si>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</si>
  <si>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</si>
  <si>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</si>
  <si>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</si>
  <si>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</si>
  <si>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</si>
  <si>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</si>
  <si>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</si>
  <si>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</si>
  <si>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</si>
  <si>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</si>
  <si>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</si>
  <si>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</si>
  <si>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</si>
  <si>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</si>
  <si>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</si>
  <si>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</si>
  <si>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</si>
  <si>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</si>
  <si>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</si>
  <si>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</si>
  <si>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</si>
  <si>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</si>
  <si>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</si>
  <si>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</si>
  <si>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</si>
  <si>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</si>
  <si>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</si>
  <si>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</si>
  <si>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</si>
  <si>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</si>
  <si>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</si>
  <si>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</si>
  <si>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</si>
  <si>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</si>
  <si>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</si>
  <si>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</si>
  <si>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</si>
  <si>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</si>
  <si>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</si>
  <si>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</si>
  <si>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</si>
  <si>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</si>
  <si>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</si>
  <si>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</si>
  <si>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</si>
  <si>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</si>
  <si>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</si>
  <si>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</si>
  <si>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</si>
  <si>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</si>
  <si>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</si>
  <si>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</si>
  <si>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</si>
  <si>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</si>
  <si>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</si>
  <si>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</si>
  <si>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</si>
  <si>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</si>
  <si>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</si>
  <si>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</si>
  <si>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</si>
  <si>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</si>
  <si>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</si>
  <si>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</si>
  <si>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</si>
  <si>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</si>
  <si>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</si>
  <si>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</si>
  <si>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</si>
  <si>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</si>
  <si>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</si>
  <si>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</si>
  <si>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</si>
  <si>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</si>
  <si>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</si>
  <si>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</si>
  <si>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</si>
  <si>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</si>
  <si>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</si>
  <si>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</si>
  <si>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</si>
  <si>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</si>
  <si>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</si>
  <si>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</si>
  <si>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</si>
  <si>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</si>
  <si>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</si>
  <si>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</si>
  <si>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</si>
  <si>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</si>
  <si>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Оставлен</t>
  </si>
  <si>
    <t>150 ml</t>
  </si>
  <si>
    <t>Правый</t>
  </si>
  <si>
    <t>Metafor</t>
  </si>
  <si>
    <t>12:42</t>
  </si>
  <si>
    <t>4960</t>
  </si>
  <si>
    <t>Горицкова Н.Б</t>
  </si>
  <si>
    <t>неровности контуров</t>
  </si>
  <si>
    <t>стеноз проксимального сегмента  80%, на границе проксимального и среднего сегментов стеноз  70%, стенозы среднего сегмента до 50%; Антеградный кровоток TIMI II за счёт снижение сократительной функции миокарда.</t>
  </si>
  <si>
    <t>ХТО на уровне устья ОА. Антеградный кровоток TIM III.  Коллатераьный кровоток не определяется.</t>
  </si>
  <si>
    <t xml:space="preserve">Совместно с д/кардиологом: с учетом клинических данных, ЭКГ и КАГ рекомендована экстренная  реканализация бассейна ПКА. </t>
  </si>
  <si>
    <t>стенозы на протяжении проксимального сегмента 80%, неровности контуров среднего сегмента, острая тотальная окклюзия на уровне дистального сегмента. TTG2 , Rentrop  0. TIMI 0</t>
  </si>
  <si>
    <t>бедренный</t>
  </si>
  <si>
    <t>Устье ПКА катетеризировано проводниковым катетером Launcher JR 4,0 6Fr.  Коронарный проводник Sion (1 шт) проведен  в дистальный сегмент ПКА. Реканализация выполнена  БК Колибри 2,0 х 15 мм, давлением 10 атм. В зону остаточного стеноза дистального сегмента имплантирован DES Resolute Integrity 2.75-18 мм, давлением 12 атм., в зону проксимального сегмента имплантирован DES Metafor 2,75 x 32 мм, давлением 12 атм. На контрольных съемках стенты раскрыты удовлетворительно, тромбоза, диссекций, экстравазации контрастного вещества не выявлено. Ангиографический результат достигнут. Антеградный кровоток в ПКА ближе TIMI II за счёт снижения сократительной функции миокарда (АД~65/40). Далее см. протокол анестезиолога.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</si>
</sst>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67" fillId="0" borderId="5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5" zoomScaleNormal="100" zoomScaleSheetLayoutView="100" zoomScalePageLayoutView="90" workbookViewId="0">
      <selection activeCell="I14" sqref="I14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45681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0.48333333333333334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0.49027777777777781</v>
      </c>
      <c r="C10" s="51"/>
      <c r="D10" s="83" t="s">
        <v>173</v>
      </c>
      <c r="E10" s="81"/>
      <c r="F10" s="81"/>
      <c r="G10" s="22" t="s">
        <v>150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17115</v>
      </c>
      <c r="C12" s="11"/>
      <c r="D12" s="83" t="s">
        <v>303</v>
      </c>
      <c r="E12" s="81"/>
      <c r="F12" s="81"/>
      <c r="G12" s="22" t="s">
        <v>178</v>
      </c>
      <c r="H12" s="24"/>
    </row>
    <row r="13" spans="1:8" ht="15.75">
      <c r="A13" s="14" t="s">
        <v>10</v>
      </c>
      <c r="B13" s="28">
        <f>DATEDIF(B12,B8,"y")</f>
        <v>78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2110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531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532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9.4239999999999995</v>
      </c>
    </row>
    <row r="18" spans="1:8" ht="14.45" customHeight="1">
      <c r="A18" s="198" t="s">
        <v>188</v>
      </c>
      <c r="B18" s="199" t="s">
        <v>529</v>
      </c>
      <c r="C18" s="204"/>
      <c r="D18" s="205" t="s">
        <v>210</v>
      </c>
      <c r="E18" s="205"/>
      <c r="F18" s="205"/>
      <c r="G18" s="201" t="s">
        <v>189</v>
      </c>
      <c r="H18" s="202" t="s">
        <v>539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534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535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536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8" t="s">
        <v>538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537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527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2" zoomScaleNormal="100" zoomScaleSheetLayoutView="100" zoomScalePageLayoutView="90" workbookViewId="0">
      <selection activeCell="J27" sqref="J27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9" t="s">
        <v>208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8" t="s">
        <v>216</v>
      </c>
      <c r="D8" s="248"/>
      <c r="E8" s="248"/>
      <c r="F8" s="172">
        <v>2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52"/>
      <c r="D9" s="252"/>
      <c r="E9" s="252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71"/>
      <c r="C10" s="253"/>
      <c r="D10" s="253"/>
      <c r="E10" s="253"/>
      <c r="F10" s="175"/>
      <c r="G10" s="105"/>
      <c r="H10" s="35"/>
    </row>
    <row r="11" spans="1:8">
      <c r="A11" s="174"/>
      <c r="B11" s="178"/>
      <c r="C11" s="181">
        <f>SUM(F8:F10)</f>
        <v>2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45681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0.49027777777777781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0.51041666666666663</v>
      </c>
      <c r="C14" s="11"/>
      <c r="D14" s="83" t="s">
        <v>173</v>
      </c>
      <c r="E14" s="81"/>
      <c r="F14" s="81"/>
      <c r="G14" s="71" t="str">
        <f>КАГ!G10</f>
        <v>Казанцева А.М.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2.0138888888888817E-2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Горицкова Н.Б</v>
      </c>
      <c r="C16" s="182">
        <f>LEN(КАГ!B11)</f>
        <v>13</v>
      </c>
      <c r="D16" s="83" t="s">
        <v>303</v>
      </c>
      <c r="E16" s="81"/>
      <c r="F16" s="81"/>
      <c r="G16" s="71" t="str">
        <f>КАГ!G12</f>
        <v>Галамага Н.Е.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17115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78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2110</v>
      </c>
      <c r="C19" s="61"/>
      <c r="D19" s="61"/>
      <c r="E19" s="61"/>
      <c r="F19" s="61"/>
      <c r="G19" s="150" t="s">
        <v>399</v>
      </c>
      <c r="H19" s="164" t="str">
        <f>КАГ!H15</f>
        <v>12:42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4960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9.4239999999999995</v>
      </c>
    </row>
    <row r="22" spans="1:8" ht="14.45" customHeight="1">
      <c r="A22" s="198" t="str">
        <f>КАГ!G18</f>
        <v>Доступ:</v>
      </c>
      <c r="B22" s="213" t="str">
        <f>КАГ!H18</f>
        <v>бедренный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20">
        <v>0.50555555555555554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7" t="s">
        <v>540</v>
      </c>
      <c r="B25" s="258"/>
      <c r="C25" s="258"/>
      <c r="D25" s="258"/>
      <c r="E25" s="258"/>
      <c r="F25" s="258"/>
      <c r="G25" s="258"/>
      <c r="H25" s="259"/>
    </row>
    <row r="26" spans="1:8" ht="14.45" customHeight="1">
      <c r="A26" s="260"/>
      <c r="B26" s="258"/>
      <c r="C26" s="258"/>
      <c r="D26" s="258"/>
      <c r="E26" s="258"/>
      <c r="F26" s="258"/>
      <c r="G26" s="258"/>
      <c r="H26" s="259"/>
    </row>
    <row r="27" spans="1:8" ht="14.45" customHeight="1">
      <c r="A27" s="260"/>
      <c r="B27" s="258"/>
      <c r="C27" s="258"/>
      <c r="D27" s="258"/>
      <c r="E27" s="258"/>
      <c r="F27" s="258"/>
      <c r="G27" s="258"/>
      <c r="H27" s="259"/>
    </row>
    <row r="28" spans="1:8" ht="14.45" customHeight="1">
      <c r="A28" s="260"/>
      <c r="B28" s="258"/>
      <c r="C28" s="258"/>
      <c r="D28" s="258"/>
      <c r="E28" s="258"/>
      <c r="F28" s="258"/>
      <c r="G28" s="258"/>
      <c r="H28" s="259"/>
    </row>
    <row r="29" spans="1:8" ht="14.45" customHeight="1">
      <c r="A29" s="260"/>
      <c r="B29" s="258"/>
      <c r="C29" s="258"/>
      <c r="D29" s="258"/>
      <c r="E29" s="258"/>
      <c r="F29" s="258"/>
      <c r="G29" s="258"/>
      <c r="H29" s="259"/>
    </row>
    <row r="30" spans="1:8" ht="14.45" customHeight="1">
      <c r="A30" s="260"/>
      <c r="B30" s="258"/>
      <c r="C30" s="258"/>
      <c r="D30" s="258"/>
      <c r="E30" s="258"/>
      <c r="F30" s="258"/>
      <c r="G30" s="258"/>
      <c r="H30" s="259"/>
    </row>
    <row r="31" spans="1:8" ht="14.45" customHeight="1">
      <c r="A31" s="260"/>
      <c r="B31" s="258"/>
      <c r="C31" s="258"/>
      <c r="D31" s="258"/>
      <c r="E31" s="258"/>
      <c r="F31" s="258"/>
      <c r="G31" s="258"/>
      <c r="H31" s="259"/>
    </row>
    <row r="32" spans="1:8" ht="14.45" customHeight="1">
      <c r="A32" s="260"/>
      <c r="B32" s="258"/>
      <c r="C32" s="258"/>
      <c r="D32" s="258"/>
      <c r="E32" s="258"/>
      <c r="F32" s="258"/>
      <c r="G32" s="258"/>
      <c r="H32" s="259"/>
    </row>
    <row r="33" spans="1:12" ht="14.45" customHeight="1">
      <c r="A33" s="260"/>
      <c r="B33" s="258"/>
      <c r="C33" s="258"/>
      <c r="D33" s="258"/>
      <c r="E33" s="258"/>
      <c r="F33" s="258"/>
      <c r="G33" s="258"/>
      <c r="H33" s="259"/>
    </row>
    <row r="34" spans="1:12" ht="14.45" customHeight="1">
      <c r="A34" s="260"/>
      <c r="B34" s="258"/>
      <c r="C34" s="258"/>
      <c r="D34" s="258"/>
      <c r="E34" s="258"/>
      <c r="F34" s="258"/>
      <c r="G34" s="258"/>
      <c r="H34" s="259"/>
    </row>
    <row r="35" spans="1:12" ht="14.45" customHeight="1">
      <c r="A35" s="260"/>
      <c r="B35" s="258"/>
      <c r="C35" s="258"/>
      <c r="D35" s="258"/>
      <c r="E35" s="258"/>
      <c r="F35" s="258"/>
      <c r="G35" s="258"/>
      <c r="H35" s="259"/>
    </row>
    <row r="36" spans="1:12" ht="14.45" customHeight="1">
      <c r="A36" s="260"/>
      <c r="B36" s="258"/>
      <c r="C36" s="258"/>
      <c r="D36" s="258"/>
      <c r="E36" s="258"/>
      <c r="F36" s="258"/>
      <c r="G36" s="258"/>
      <c r="H36" s="259"/>
    </row>
    <row r="37" spans="1:12" ht="14.45" customHeight="1">
      <c r="A37" s="260"/>
      <c r="B37" s="258"/>
      <c r="C37" s="258"/>
      <c r="D37" s="258"/>
      <c r="E37" s="258"/>
      <c r="F37" s="258"/>
      <c r="G37" s="258"/>
      <c r="H37" s="259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526</v>
      </c>
      <c r="C40" s="107"/>
      <c r="D40" s="254"/>
      <c r="E40" s="255"/>
      <c r="F40" s="255"/>
      <c r="G40" s="255"/>
      <c r="H40" s="256"/>
    </row>
    <row r="41" spans="1:12" ht="14.45" customHeight="1">
      <c r="A41" s="30"/>
      <c r="B41" s="26"/>
      <c r="C41" s="107"/>
      <c r="D41" s="255"/>
      <c r="E41" s="255"/>
      <c r="F41" s="255"/>
      <c r="G41" s="255"/>
      <c r="H41" s="256"/>
    </row>
    <row r="42" spans="1:12" ht="14.45" customHeight="1">
      <c r="A42" s="30"/>
      <c r="B42" s="26"/>
      <c r="C42" s="107"/>
      <c r="D42" s="255"/>
      <c r="E42" s="255"/>
      <c r="F42" s="255"/>
      <c r="G42" s="255"/>
      <c r="H42" s="256"/>
    </row>
    <row r="43" spans="1:12" ht="14.45" customHeight="1">
      <c r="A43" s="30"/>
      <c r="B43" s="26"/>
      <c r="C43" s="107"/>
      <c r="D43" s="255"/>
      <c r="E43" s="255"/>
      <c r="F43" s="255"/>
      <c r="G43" s="255"/>
      <c r="H43" s="256"/>
    </row>
    <row r="44" spans="1:12" ht="14.45" customHeight="1">
      <c r="A44" s="30"/>
      <c r="B44" s="26"/>
      <c r="C44" s="107"/>
      <c r="D44" s="255"/>
      <c r="E44" s="255"/>
      <c r="F44" s="255"/>
      <c r="G44" s="255"/>
      <c r="H44" s="256"/>
      <c r="L44" s="146"/>
    </row>
    <row r="45" spans="1:12" ht="14.45" customHeight="1">
      <c r="A45" s="30"/>
      <c r="B45" s="26"/>
      <c r="C45" s="107"/>
      <c r="D45" s="255"/>
      <c r="E45" s="255"/>
      <c r="F45" s="255"/>
      <c r="G45" s="255"/>
      <c r="H45" s="256"/>
    </row>
    <row r="46" spans="1:12" ht="14.45" customHeight="1">
      <c r="A46" s="30"/>
      <c r="B46" s="26"/>
      <c r="C46" s="107"/>
      <c r="D46" s="255"/>
      <c r="E46" s="255"/>
      <c r="F46" s="255"/>
      <c r="G46" s="255"/>
      <c r="H46" s="256"/>
    </row>
    <row r="47" spans="1:12" ht="14.45" customHeight="1">
      <c r="A47" s="34"/>
      <c r="B47"/>
      <c r="C47" s="107"/>
      <c r="D47" s="255"/>
      <c r="E47" s="255"/>
      <c r="F47" s="255"/>
      <c r="G47" s="255"/>
      <c r="H47" s="256"/>
    </row>
    <row r="48" spans="1:12" ht="14.45" customHeight="1">
      <c r="A48" s="34"/>
      <c r="B48"/>
      <c r="C48" s="107"/>
      <c r="D48" s="255"/>
      <c r="E48" s="255"/>
      <c r="F48" s="255"/>
      <c r="G48" s="255"/>
      <c r="H48" s="256"/>
    </row>
    <row r="49" spans="1:8" ht="14.45" customHeight="1">
      <c r="A49" s="34"/>
      <c r="B49"/>
      <c r="C49" s="107"/>
      <c r="D49" s="255"/>
      <c r="E49" s="255"/>
      <c r="F49" s="255"/>
      <c r="G49" s="255"/>
      <c r="H49" s="256"/>
    </row>
    <row r="50" spans="1:8">
      <c r="A50" s="54" t="s">
        <v>199</v>
      </c>
      <c r="B50" s="55" t="s">
        <v>528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9" t="s">
        <v>371</v>
      </c>
      <c r="B52" s="240"/>
      <c r="C52" s="240"/>
      <c r="D52" s="240"/>
      <c r="E52" s="240"/>
      <c r="F52" s="241"/>
      <c r="G52"/>
      <c r="H52" s="35"/>
    </row>
    <row r="53" spans="1:8" ht="15" customHeight="1">
      <c r="A53" s="242"/>
      <c r="B53" s="243"/>
      <c r="C53" s="243"/>
      <c r="D53" s="243"/>
      <c r="E53" s="243"/>
      <c r="F53" s="244"/>
      <c r="G53" s="66" t="str">
        <f>IF(ISBLANK(H13),"",H13)</f>
        <v/>
      </c>
      <c r="H53" s="56"/>
    </row>
    <row r="54" spans="1:8">
      <c r="A54" s="245"/>
      <c r="B54" s="246"/>
      <c r="C54" s="246"/>
      <c r="D54" s="246"/>
      <c r="E54" s="246"/>
      <c r="F54" s="247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
Бассейн ПНА:   стеноз проксимального сегмента  80%, на границе проксимального и среднего сегментов стеноз  70%, стенозы среднего сегмента до 50%; Антеградный кровоток TIMI II за счёт снижение сократительной функции миокарда.
Бассейн  ОА:   ХТО на уровне устья ОА. Антеградный кровоток TIM III.  Коллатераьный кровоток не определяется.
Бассейн ПКА:   стенозы на протяжении проксимального сегмента 80%, неровности контуров среднего сегмента, острая тотальная окклюзия на уровне дистального сегмента. TTG2 , Rentrop  0. TIMI 0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0" sqref="C20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45681</v>
      </c>
      <c r="C2" s="138" t="str">
        <f>IF(ЧКВ!B21=Вмешательства!F14,Вмешательства!F20,Вмешательства!F22)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Горицкова Н.Б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17115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78</v>
      </c>
    </row>
    <row r="7" spans="1:4">
      <c r="A7" s="34"/>
      <c r="B7"/>
      <c r="C7" s="88" t="s">
        <v>12</v>
      </c>
      <c r="D7" s="90">
        <f>КАГ!$B$14</f>
        <v>2110</v>
      </c>
    </row>
    <row r="8" spans="1:4">
      <c r="A8" s="176" t="str">
        <f>ЧКВ!$A$9</f>
        <v>Код модели: 21166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46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45681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331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40" t="s">
        <v>375</v>
      </c>
      <c r="C15" s="121" t="s">
        <v>406</v>
      </c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40" t="s">
        <v>324</v>
      </c>
      <c r="C16" s="121" t="s">
        <v>448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40" t="s">
        <v>530</v>
      </c>
      <c r="C17" s="166" t="s">
        <v>454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41" t="s">
        <v>315</v>
      </c>
      <c r="C18" s="121"/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6" zoomScaleNormal="100" workbookViewId="0">
      <selection activeCell="C64" sqref="C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02" t="str">
        <f>IFERROR(INDEX(Расходка[Наименование расходного материала],MATCH(Расходка[[#This Row],[№]],Поиск_расходки[Индекс3],0)),"")</f>
        <v>Колибри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02" t="str">
        <f>IFERROR(INDEX(Расходка[Наименование расходного материала],MATCH(Расходка[[#This Row],[№]],Поиск_расходки[Индекс7],0)),"")</f>
        <v>Metafor</v>
      </c>
      <c r="Y2" s="102" t="str">
        <f>IFERROR(INDEX(Расходка[Наименование расходного материала],MATCH(Расходка[[#This Row],[№]],Поиск_расходки[Индекс8],0)),"")</f>
        <v>Fielder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/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>Fielder XT-A</v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>Fielder XT-R</v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1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2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1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2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3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1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0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530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1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Metafor</v>
      </c>
      <c r="AA65" s="102" t="str">
        <f>IFERROR(INDEX(Расходка[Наименование расходного материала],MATCH(Расходка[[#This Row],[№]],Поиск_расходки[Индекс10],0)),"")</f>
        <v>Metafor</v>
      </c>
      <c r="AB65" s="102" t="str">
        <f>IFERROR(INDEX(Расходка[Наименование расходного материала],MATCH(Расходка[[#This Row],[№]],Поиск_расходки[Индекс11],0)),"")</f>
        <v>Metafor</v>
      </c>
      <c r="AC65" s="102" t="str">
        <f>IFERROR(INDEX(Расходка[Наименование расходного материала],MATCH(Расходка[[#This Row],[№]],Поиск_расходки[Индекс12],0)),"")</f>
        <v>Metafor</v>
      </c>
      <c r="AD65" s="102" t="str">
        <f>IFERROR(INDEX(Расходка[Наименование расходного материала],MATCH(Расходка[[#This Row],[№]],Поиск_расходки[Индекс13],0)),"")</f>
        <v>Metafor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80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1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E79" s="179">
        <f>IF(ISNUMBER(SEARCH('Карта учёта'!$B$13,Расходка[[#This Row],[Наименование расходного материала]])),MAX($E$1:E78)+1,0)</f>
        <v>0</v>
      </c>
      <c r="F79" s="179">
        <f>IF(ISNUMBER(SEARCH('Карта учёта'!$B$14,Расходка[[#This Row],[Наименование расходного материала]])),MAX($F$1:F78)+1,0)</f>
        <v>0</v>
      </c>
      <c r="G79" s="179">
        <f>IF(ISNUMBER(SEARCH('Карта учёта'!$B$15,Расходка[[#This Row],[Наименование расходного материала]])),MAX($G$1:G78)+1,0)</f>
        <v>0</v>
      </c>
      <c r="H79" s="179">
        <f>IF(ISNUMBER(SEARCH('Карта учёта'!#REF!,Расходка[[#This Row],[Наименование расходного материала]])),MAX($H$1:H78)+1,0)</f>
        <v>0</v>
      </c>
      <c r="I79" s="179">
        <f>IF(ISNUMBER(SEARCH('Карта учёта'!#REF!,Расходка[[#This Row],[Наименование расходного материала]])),MAX($I$1:I78)+1,0)</f>
        <v>0</v>
      </c>
      <c r="J79" s="179">
        <f>IF(ISNUMBER(SEARCH('Карта учёта'!$B$16,Расходка[[#This Row],[Наименование расходного материала]])),MAX($J$1:J78)+1,0)</f>
        <v>0</v>
      </c>
      <c r="K79" s="179">
        <f>IF(ISNUMBER(SEARCH('Карта учёта'!$B$17,Расходка[[#This Row],[Наименование расходного материала]])),MAX($K$1:K78)+1,0)</f>
        <v>0</v>
      </c>
      <c r="L79" s="179">
        <f>IF(ISNUMBER(SEARCH('Карта учёта'!$B$18,Расходка[[#This Row],[Наименование расходного материала]])),MAX($L$1:L78)+1,0)</f>
        <v>0</v>
      </c>
      <c r="M79" s="179">
        <f>IF(ISNUMBER(SEARCH('Карта учёта'!$B$19,Расходка[[#This Row],[Наименование расходного материала]])),MAX($M$1:M78)+1,0)</f>
        <v>78</v>
      </c>
      <c r="N79" s="179">
        <f>IF(ISNUMBER(SEARCH('Карта учёта'!$B$20,Расходка[[#This Row],[Наименование расходного материала]])),MAX($N$1:N78)+1,0)</f>
        <v>78</v>
      </c>
      <c r="O79" s="179">
        <f>IF(ISNUMBER(SEARCH('Карта учёта'!$B$21,Расходка[[#This Row],[Наименование расходного материала]])),MAX($O$1:O78)+1,0)</f>
        <v>78</v>
      </c>
      <c r="P79" s="179">
        <f>IF(ISNUMBER(SEARCH('Карта учёта'!$B$22,Расходка[[#This Row],[Наименование расходного материала]])),MAX($P$1:P78)+1,0)</f>
        <v>78</v>
      </c>
      <c r="Q79" s="179">
        <f>IF(ISNUMBER(SEARCH('Карта учёта'!$B$23,Расходка[[#This Row],[Наименование расходного материала]])),MAX($Q$1:Q78)+1,0)</f>
        <v>78</v>
      </c>
      <c r="R79" s="180" t="str">
        <f>IFERROR(INDEX(Расходка[Наименование расходного материала],MATCH(Расходка[[#This Row],[№]],Поиск_расходки[Индекс1],0)),"")</f>
        <v/>
      </c>
      <c r="S79" s="180" t="str">
        <f>IFERROR(INDEX(Расходка[Наименование расходного материала],MATCH(Расходка[[#This Row],[№]],Поиск_расходки[Индекс2],0)),"")</f>
        <v/>
      </c>
      <c r="T79" s="180" t="str">
        <f>IFERROR(INDEX(Расходка[Наименование расходного материала],MATCH(Расходка[[#This Row],[№]],Поиск_расходки[Индекс3],0)),"")</f>
        <v/>
      </c>
      <c r="U79" s="180" t="str">
        <f>IFERROR(INDEX(Расходка[Наименование расходного материала],MATCH(Расходка[[#This Row],[№]],Поиск_расходки[Индекс4],0)),"")</f>
        <v/>
      </c>
      <c r="V79" s="180" t="str">
        <f>IFERROR(INDEX(Расходка[Наименование расходного материала],MATCH(Расходка[[#This Row],[№]],Поиск_расходки[Индекс5],0)),"")</f>
        <v/>
      </c>
      <c r="W79" s="180" t="str">
        <f>IFERROR(INDEX(Расходка[Наименование расходного материала],MATCH(Расходка[[#This Row],[№]],Поиск_расходки[Индекс6],0)),"")</f>
        <v/>
      </c>
      <c r="X79" s="180" t="str">
        <f>IFERROR(INDEX(Расходка[Наименование расходного материала],MATCH(Расходка[[#This Row],[№]],Поиск_расходки[Индекс7],0)),"")</f>
        <v/>
      </c>
      <c r="Y79" s="180" t="str">
        <f>IFERROR(INDEX(Расходка[Наименование расходного материала],MATCH(Расходка[[#This Row],[№]],Поиск_расходки[Индекс8],0)),"")</f>
        <v/>
      </c>
      <c r="Z79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470</v>
      </c>
    </row>
    <row r="80" spans="1:33">
      <c r="E80" s="179">
        <f>IF(ISNUMBER(SEARCH('Карта учёта'!$B$13,Расходка[[#This Row],[Наименование расходного материала]])),MAX($E$1:E79)+1,0)</f>
        <v>0</v>
      </c>
      <c r="F80" s="179">
        <f>IF(ISNUMBER(SEARCH('Карта учёта'!$B$14,Расходка[[#This Row],[Наименование расходного материала]])),MAX($F$1:F79)+1,0)</f>
        <v>0</v>
      </c>
      <c r="G80" s="179">
        <f>IF(ISNUMBER(SEARCH('Карта учёта'!$B$15,Расходка[[#This Row],[Наименование расходного материала]])),MAX($G$1:G79)+1,0)</f>
        <v>0</v>
      </c>
      <c r="H80" s="179">
        <f>IF(ISNUMBER(SEARCH('Карта учёта'!#REF!,Расходка[[#This Row],[Наименование расходного материала]])),MAX($H$1:H79)+1,0)</f>
        <v>0</v>
      </c>
      <c r="I80" s="179">
        <f>IF(ISNUMBER(SEARCH('Карта учёта'!#REF!,Расходка[[#This Row],[Наименование расходного материала]])),MAX($I$1:I79)+1,0)</f>
        <v>0</v>
      </c>
      <c r="J80" s="179">
        <f>IF(ISNUMBER(SEARCH('Карта учёта'!$B$16,Расходка[[#This Row],[Наименование расходного материала]])),MAX($J$1:J79)+1,0)</f>
        <v>0</v>
      </c>
      <c r="K80" s="179">
        <f>IF(ISNUMBER(SEARCH('Карта учёта'!$B$17,Расходка[[#This Row],[Наименование расходного материала]])),MAX($K$1:K79)+1,0)</f>
        <v>0</v>
      </c>
      <c r="L80" s="179">
        <f>IF(ISNUMBER(SEARCH('Карта учёта'!$B$18,Расходка[[#This Row],[Наименование расходного материала]])),MAX($L$1:L79)+1,0)</f>
        <v>0</v>
      </c>
      <c r="M80" s="179">
        <f>IF(ISNUMBER(SEARCH('Карта учёта'!$B$19,Расходка[[#This Row],[Наименование расходного материала]])),MAX($M$1:M79)+1,0)</f>
        <v>0</v>
      </c>
      <c r="N80" s="179">
        <f>IF(ISNUMBER(SEARCH('Карта учёта'!$B$20,Расходка[[#This Row],[Наименование расходного материала]])),MAX($N$1:N79)+1,0)</f>
        <v>0</v>
      </c>
      <c r="O80" s="179">
        <f>IF(ISNUMBER(SEARCH('Карта учёта'!$B$21,Расходка[[#This Row],[Наименование расходного материала]])),MAX($O$1:O79)+1,0)</f>
        <v>0</v>
      </c>
      <c r="P80" s="179">
        <f>IF(ISNUMBER(SEARCH('Карта учёта'!$B$22,Расходка[[#This Row],[Наименование расходного материала]])),MAX($P$1:P79)+1,0)</f>
        <v>0</v>
      </c>
      <c r="Q80" s="179">
        <f>IF(ISNUMBER(SEARCH('Карта учёта'!$B$23,Расходка[[#This Row],[Наименование расходного материала]])),MAX($Q$1:Q79)+1,0)</f>
        <v>0</v>
      </c>
      <c r="R80" s="180" t="str">
        <f>IFERROR(INDEX(Расходка[Наименование расходного материала],MATCH(Расходка[[#This Row],[№]],Поиск_расходки[Индекс1],0)),"")</f>
        <v/>
      </c>
      <c r="S80" s="180" t="str">
        <f>IFERROR(INDEX(Расходка[Наименование расходного материала],MATCH(Расходка[[#This Row],[№]],Поиск_расходки[Индекс2],0)),"")</f>
        <v/>
      </c>
      <c r="T80" s="180" t="str">
        <f>IFERROR(INDEX(Расходка[Наименование расходного материала],MATCH(Расходка[[#This Row],[№]],Поиск_расходки[Индекс3],0)),"")</f>
        <v/>
      </c>
      <c r="U80" s="180" t="str">
        <f>IFERROR(INDEX(Расходка[Наименование расходного материала],MATCH(Расходка[[#This Row],[№]],Поиск_расходки[Индекс4],0)),"")</f>
        <v/>
      </c>
      <c r="V80" s="180" t="str">
        <f>IFERROR(INDEX(Расходка[Наименование расходного материала],MATCH(Расходка[[#This Row],[№]],Поиск_расходки[Индекс5],0)),"")</f>
        <v/>
      </c>
      <c r="W80" s="180" t="str">
        <f>IFERROR(INDEX(Расходка[Наименование расходного материала],MATCH(Расходка[[#This Row],[№]],Поиск_расходки[Индекс6],0)),"")</f>
        <v/>
      </c>
      <c r="X80" s="180" t="str">
        <f>IFERROR(INDEX(Расходка[Наименование расходного материала],MATCH(Расходка[[#This Row],[№]],Поиск_расходки[Индекс7],0)),"")</f>
        <v/>
      </c>
      <c r="Y80" s="180" t="str">
        <f>IFERROR(INDEX(Расходка[Наименование расходного материала],MATCH(Расходка[[#This Row],[№]],Поиск_расходки[Индекс8],0)),"")</f>
        <v/>
      </c>
      <c r="Z80" s="180" t="str">
        <f>IFERROR(INDEX(Расходка[Наименование расходного материала],MATCH(Расходка[[#This Row],[№]],Поиск_расходки[Индекс9],0)),"")</f>
        <v/>
      </c>
      <c r="AA80" s="180" t="str">
        <f>IFERROR(INDEX(Расходка[Наименование расходного материала],MATCH(Расходка[[#This Row],[№]],Поиск_расходки[Индекс10],0)),"")</f>
        <v/>
      </c>
      <c r="AB80" s="180" t="str">
        <f>IFERROR(INDEX(Расходка[Наименование расходного материала],MATCH(Расходка[[#This Row],[№]],Поиск_расходки[Индекс11],0)),"")</f>
        <v/>
      </c>
      <c r="AC80" s="180" t="str">
        <f>IFERROR(INDEX(Расходка[Наименование расходного материала],MATCH(Расходка[[#This Row],[№]],Поиск_расходки[Индекс12],0)),"")</f>
        <v/>
      </c>
      <c r="AD80" s="18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471</v>
      </c>
    </row>
    <row r="81" spans="5:33">
      <c r="E81" s="179">
        <f>IF(ISNUMBER(SEARCH('Карта учёта'!$B$13,Расходка[[#This Row],[Наименование расходного материала]])),MAX($E$1:E80)+1,0)</f>
        <v>0</v>
      </c>
      <c r="F81" s="179">
        <f>IF(ISNUMBER(SEARCH('Карта учёта'!$B$14,Расходка[[#This Row],[Наименование расходного материала]])),MAX($F$1:F80)+1,0)</f>
        <v>0</v>
      </c>
      <c r="G81" s="179">
        <f>IF(ISNUMBER(SEARCH('Карта учёта'!$B$15,Расходка[[#This Row],[Наименование расходного материала]])),MAX($G$1:G80)+1,0)</f>
        <v>0</v>
      </c>
      <c r="H81" s="179">
        <f>IF(ISNUMBER(SEARCH('Карта учёта'!#REF!,Расходка[[#This Row],[Наименование расходного материала]])),MAX($H$1:H80)+1,0)</f>
        <v>0</v>
      </c>
      <c r="I81" s="179">
        <f>IF(ISNUMBER(SEARCH('Карта учёта'!#REF!,Расходка[[#This Row],[Наименование расходного материала]])),MAX($I$1:I80)+1,0)</f>
        <v>0</v>
      </c>
      <c r="J81" s="179">
        <f>IF(ISNUMBER(SEARCH('Карта учёта'!$B$16,Расходка[[#This Row],[Наименование расходного материала]])),MAX($J$1:J80)+1,0)</f>
        <v>0</v>
      </c>
      <c r="K81" s="179">
        <f>IF(ISNUMBER(SEARCH('Карта учёта'!$B$17,Расходка[[#This Row],[Наименование расходного материала]])),MAX($K$1:K80)+1,0)</f>
        <v>0</v>
      </c>
      <c r="L81" s="179">
        <f>IF(ISNUMBER(SEARCH('Карта учёта'!$B$18,Расходка[[#This Row],[Наименование расходного материала]])),MAX($L$1:L80)+1,0)</f>
        <v>0</v>
      </c>
      <c r="M81" s="179">
        <f>IF(ISNUMBER(SEARCH('Карта учёта'!$B$19,Расходка[[#This Row],[Наименование расходного материала]])),MAX($M$1:M80)+1,0)</f>
        <v>0</v>
      </c>
      <c r="N81" s="179">
        <f>IF(ISNUMBER(SEARCH('Карта учёта'!$B$20,Расходка[[#This Row],[Наименование расходного материала]])),MAX($N$1:N80)+1,0)</f>
        <v>0</v>
      </c>
      <c r="O81" s="179">
        <f>IF(ISNUMBER(SEARCH('Карта учёта'!$B$21,Расходка[[#This Row],[Наименование расходного материала]])),MAX($O$1:O80)+1,0)</f>
        <v>0</v>
      </c>
      <c r="P81" s="179">
        <f>IF(ISNUMBER(SEARCH('Карта учёта'!$B$22,Расходка[[#This Row],[Наименование расходного материала]])),MAX($P$1:P80)+1,0)</f>
        <v>0</v>
      </c>
      <c r="Q81" s="179">
        <f>IF(ISNUMBER(SEARCH('Карта учёта'!$B$23,Расходка[[#This Row],[Наименование расходного материала]])),MAX($Q$1:Q80)+1,0)</f>
        <v>0</v>
      </c>
      <c r="R81" s="180" t="str">
        <f>IFERROR(INDEX(Расходка[Наименование расходного материала],MATCH(Расходка[[#This Row],[№]],Поиск_расходки[Индекс1],0)),"")</f>
        <v/>
      </c>
      <c r="S81" s="180" t="str">
        <f>IFERROR(INDEX(Расходка[Наименование расходного материала],MATCH(Расходка[[#This Row],[№]],Поиск_расходки[Индекс2],0)),"")</f>
        <v/>
      </c>
      <c r="T81" s="180" t="str">
        <f>IFERROR(INDEX(Расходка[Наименование расходного материала],MATCH(Расходка[[#This Row],[№]],Поиск_расходки[Индекс3],0)),"")</f>
        <v/>
      </c>
      <c r="U81" s="180" t="str">
        <f>IFERROR(INDEX(Расходка[Наименование расходного материала],MATCH(Расходка[[#This Row],[№]],Поиск_расходки[Индекс4],0)),"")</f>
        <v/>
      </c>
      <c r="V81" s="180" t="str">
        <f>IFERROR(INDEX(Расходка[Наименование расходного материала],MATCH(Расходка[[#This Row],[№]],Поиск_расходки[Индекс5],0)),"")</f>
        <v/>
      </c>
      <c r="W81" s="180" t="str">
        <f>IFERROR(INDEX(Расходка[Наименование расходного материала],MATCH(Расходка[[#This Row],[№]],Поиск_расходки[Индекс6],0)),"")</f>
        <v/>
      </c>
      <c r="X81" s="180" t="str">
        <f>IFERROR(INDEX(Расходка[Наименование расходного материала],MATCH(Расходка[[#This Row],[№]],Поиск_расходки[Индекс7],0)),"")</f>
        <v/>
      </c>
      <c r="Y81" s="180" t="str">
        <f>IFERROR(INDEX(Расходка[Наименование расходного материала],MATCH(Расходка[[#This Row],[№]],Поиск_расходки[Индекс8],0)),"")</f>
        <v/>
      </c>
      <c r="Z81" s="180" t="str">
        <f>IFERROR(INDEX(Расходка[Наименование расходного материала],MATCH(Расходка[[#This Row],[№]],Поиск_расходки[Индекс9],0)),"")</f>
        <v/>
      </c>
      <c r="AA81" s="180" t="str">
        <f>IFERROR(INDEX(Расходка[Наименование расходного материала],MATCH(Расходка[[#This Row],[№]],Поиск_расходки[Индекс10],0)),"")</f>
        <v/>
      </c>
      <c r="AB81" s="180" t="str">
        <f>IFERROR(INDEX(Расходка[Наименование расходного материала],MATCH(Расходка[[#This Row],[№]],Поиск_расходки[Индекс11],0)),"")</f>
        <v/>
      </c>
      <c r="AC81" s="180" t="str">
        <f>IFERROR(INDEX(Расходка[Наименование расходного материала],MATCH(Расходка[[#This Row],[№]],Поиск_расходки[Индекс12],0)),"")</f>
        <v/>
      </c>
      <c r="AD81" s="18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472</v>
      </c>
    </row>
    <row r="82" spans="5:33">
      <c r="E82" s="179">
        <f>IF(ISNUMBER(SEARCH('Карта учёта'!$B$13,Расходка[[#This Row],[Наименование расходного материала]])),MAX($E$1:E81)+1,0)</f>
        <v>0</v>
      </c>
      <c r="F82" s="179">
        <f>IF(ISNUMBER(SEARCH('Карта учёта'!$B$14,Расходка[[#This Row],[Наименование расходного материала]])),MAX($F$1:F81)+1,0)</f>
        <v>0</v>
      </c>
      <c r="G82" s="179">
        <f>IF(ISNUMBER(SEARCH('Карта учёта'!$B$15,Расходка[[#This Row],[Наименование расходного материала]])),MAX($G$1:G81)+1,0)</f>
        <v>0</v>
      </c>
      <c r="H82" s="179">
        <f>IF(ISNUMBER(SEARCH('Карта учёта'!#REF!,Расходка[[#This Row],[Наименование расходного материала]])),MAX($H$1:H81)+1,0)</f>
        <v>0</v>
      </c>
      <c r="I82" s="179">
        <f>IF(ISNUMBER(SEARCH('Карта учёта'!#REF!,Расходка[[#This Row],[Наименование расходного материала]])),MAX($I$1:I81)+1,0)</f>
        <v>0</v>
      </c>
      <c r="J82" s="179">
        <f>IF(ISNUMBER(SEARCH('Карта учёта'!$B$16,Расходка[[#This Row],[Наименование расходного материала]])),MAX($J$1:J81)+1,0)</f>
        <v>0</v>
      </c>
      <c r="K82" s="179">
        <f>IF(ISNUMBER(SEARCH('Карта учёта'!$B$17,Расходка[[#This Row],[Наименование расходного материала]])),MAX($K$1:K81)+1,0)</f>
        <v>0</v>
      </c>
      <c r="L82" s="179">
        <f>IF(ISNUMBER(SEARCH('Карта учёта'!$B$18,Расходка[[#This Row],[Наименование расходного материала]])),MAX($L$1:L81)+1,0)</f>
        <v>0</v>
      </c>
      <c r="M82" s="179">
        <f>IF(ISNUMBER(SEARCH('Карта учёта'!$B$19,Расходка[[#This Row],[Наименование расходного материала]])),MAX($M$1:M81)+1,0)</f>
        <v>0</v>
      </c>
      <c r="N82" s="179">
        <f>IF(ISNUMBER(SEARCH('Карта учёта'!$B$20,Расходка[[#This Row],[Наименование расходного материала]])),MAX($N$1:N81)+1,0)</f>
        <v>0</v>
      </c>
      <c r="O82" s="179">
        <f>IF(ISNUMBER(SEARCH('Карта учёта'!$B$21,Расходка[[#This Row],[Наименование расходного материала]])),MAX($O$1:O81)+1,0)</f>
        <v>0</v>
      </c>
      <c r="P82" s="179">
        <f>IF(ISNUMBER(SEARCH('Карта учёта'!$B$22,Расходка[[#This Row],[Наименование расходного материала]])),MAX($P$1:P81)+1,0)</f>
        <v>0</v>
      </c>
      <c r="Q82" s="179">
        <f>IF(ISNUMBER(SEARCH('Карта учёта'!$B$23,Расходка[[#This Row],[Наименование расходного материала]])),MAX($Q$1:Q81)+1,0)</f>
        <v>0</v>
      </c>
      <c r="R82" s="180" t="str">
        <f>IFERROR(INDEX(Расходка[Наименование расходного материала],MATCH(Расходка[[#This Row],[№]],Поиск_расходки[Индекс1],0)),"")</f>
        <v/>
      </c>
      <c r="S82" s="180" t="str">
        <f>IFERROR(INDEX(Расходка[Наименование расходного материала],MATCH(Расходка[[#This Row],[№]],Поиск_расходки[Индекс2],0)),"")</f>
        <v/>
      </c>
      <c r="T82" s="180" t="str">
        <f>IFERROR(INDEX(Расходка[Наименование расходного материала],MATCH(Расходка[[#This Row],[№]],Поиск_расходки[Индекс3],0)),"")</f>
        <v/>
      </c>
      <c r="U82" s="180" t="str">
        <f>IFERROR(INDEX(Расходка[Наименование расходного материала],MATCH(Расходка[[#This Row],[№]],Поиск_расходки[Индекс4],0)),"")</f>
        <v/>
      </c>
      <c r="V82" s="180" t="str">
        <f>IFERROR(INDEX(Расходка[Наименование расходного материала],MATCH(Расходка[[#This Row],[№]],Поиск_расходки[Индекс5],0)),"")</f>
        <v/>
      </c>
      <c r="W82" s="180" t="str">
        <f>IFERROR(INDEX(Расходка[Наименование расходного материала],MATCH(Расходка[[#This Row],[№]],Поиск_расходки[Индекс6],0)),"")</f>
        <v/>
      </c>
      <c r="X82" s="180" t="str">
        <f>IFERROR(INDEX(Расходка[Наименование расходного материала],MATCH(Расходка[[#This Row],[№]],Поиск_расходки[Индекс7],0)),"")</f>
        <v/>
      </c>
      <c r="Y82" s="180" t="str">
        <f>IFERROR(INDEX(Расходка[Наименование расходного материала],MATCH(Расходка[[#This Row],[№]],Поиск_расходки[Индекс8],0)),"")</f>
        <v/>
      </c>
      <c r="Z82" s="180" t="str">
        <f>IFERROR(INDEX(Расходка[Наименование расходного материала],MATCH(Расходка[[#This Row],[№]],Поиск_расходки[Индекс9],0)),"")</f>
        <v/>
      </c>
      <c r="AA82" s="180" t="str">
        <f>IFERROR(INDEX(Расходка[Наименование расходного материала],MATCH(Расходка[[#This Row],[№]],Поиск_расходки[Индекс10],0)),"")</f>
        <v/>
      </c>
      <c r="AB82" s="180" t="str">
        <f>IFERROR(INDEX(Расходка[Наименование расходного материала],MATCH(Расходка[[#This Row],[№]],Поиск_расходки[Индекс11],0)),"")</f>
        <v/>
      </c>
      <c r="AC82" s="180" t="str">
        <f>IFERROR(INDEX(Расходка[Наименование расходного материала],MATCH(Расходка[[#This Row],[№]],Поиск_расходки[Индекс12],0)),"")</f>
        <v/>
      </c>
      <c r="AD82" s="18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473</v>
      </c>
    </row>
    <row r="83" spans="5:33">
      <c r="E83" s="179">
        <f>IF(ISNUMBER(SEARCH('Карта учёта'!$B$13,Расходка[[#This Row],[Наименование расходного материала]])),MAX($E$1:E82)+1,0)</f>
        <v>0</v>
      </c>
      <c r="F83" s="179">
        <f>IF(ISNUMBER(SEARCH('Карта учёта'!$B$14,Расходка[[#This Row],[Наименование расходного материала]])),MAX($F$1:F82)+1,0)</f>
        <v>0</v>
      </c>
      <c r="G83" s="179">
        <f>IF(ISNUMBER(SEARCH('Карта учёта'!$B$15,Расходка[[#This Row],[Наименование расходного материала]])),MAX($G$1:G82)+1,0)</f>
        <v>0</v>
      </c>
      <c r="H83" s="179">
        <f>IF(ISNUMBER(SEARCH('Карта учёта'!#REF!,Расходка[[#This Row],[Наименование расходного материала]])),MAX($H$1:H82)+1,0)</f>
        <v>0</v>
      </c>
      <c r="I83" s="179">
        <f>IF(ISNUMBER(SEARCH('Карта учёта'!#REF!,Расходка[[#This Row],[Наименование расходного материала]])),MAX($I$1:I82)+1,0)</f>
        <v>0</v>
      </c>
      <c r="J83" s="179">
        <f>IF(ISNUMBER(SEARCH('Карта учёта'!$B$16,Расходка[[#This Row],[Наименование расходного материала]])),MAX($J$1:J82)+1,0)</f>
        <v>0</v>
      </c>
      <c r="K83" s="179">
        <f>IF(ISNUMBER(SEARCH('Карта учёта'!$B$17,Расходка[[#This Row],[Наименование расходного материала]])),MAX($K$1:K82)+1,0)</f>
        <v>0</v>
      </c>
      <c r="L83" s="179">
        <f>IF(ISNUMBER(SEARCH('Карта учёта'!$B$18,Расходка[[#This Row],[Наименование расходного материала]])),MAX($L$1:L82)+1,0)</f>
        <v>0</v>
      </c>
      <c r="M83" s="179">
        <f>IF(ISNUMBER(SEARCH('Карта учёта'!$B$19,Расходка[[#This Row],[Наименование расходного материала]])),MAX($M$1:M82)+1,0)</f>
        <v>0</v>
      </c>
      <c r="N83" s="179">
        <f>IF(ISNUMBER(SEARCH('Карта учёта'!$B$20,Расходка[[#This Row],[Наименование расходного материала]])),MAX($N$1:N82)+1,0)</f>
        <v>0</v>
      </c>
      <c r="O83" s="179">
        <f>IF(ISNUMBER(SEARCH('Карта учёта'!$B$21,Расходка[[#This Row],[Наименование расходного материала]])),MAX($O$1:O82)+1,0)</f>
        <v>0</v>
      </c>
      <c r="P83" s="179">
        <f>IF(ISNUMBER(SEARCH('Карта учёта'!$B$22,Расходка[[#This Row],[Наименование расходного материала]])),MAX($P$1:P82)+1,0)</f>
        <v>0</v>
      </c>
      <c r="Q83" s="179">
        <f>IF(ISNUMBER(SEARCH('Карта учёта'!$B$23,Расходка[[#This Row],[Наименование расходного материала]])),MAX($Q$1:Q82)+1,0)</f>
        <v>0</v>
      </c>
      <c r="R83" s="180" t="str">
        <f>IFERROR(INDEX(Расходка[Наименование расходного материала],MATCH(Расходка[[#This Row],[№]],Поиск_расходки[Индекс1],0)),"")</f>
        <v/>
      </c>
      <c r="S83" s="180" t="str">
        <f>IFERROR(INDEX(Расходка[Наименование расходного материала],MATCH(Расходка[[#This Row],[№]],Поиск_расходки[Индекс2],0)),"")</f>
        <v/>
      </c>
      <c r="T83" s="180" t="str">
        <f>IFERROR(INDEX(Расходка[Наименование расходного материала],MATCH(Расходка[[#This Row],[№]],Поиск_расходки[Индекс3],0)),"")</f>
        <v/>
      </c>
      <c r="U83" s="180" t="str">
        <f>IFERROR(INDEX(Расходка[Наименование расходного материала],MATCH(Расходка[[#This Row],[№]],Поиск_расходки[Индекс4],0)),"")</f>
        <v/>
      </c>
      <c r="V83" s="180" t="str">
        <f>IFERROR(INDEX(Расходка[Наименование расходного материала],MATCH(Расходка[[#This Row],[№]],Поиск_расходки[Индекс5],0)),"")</f>
        <v/>
      </c>
      <c r="W83" s="180" t="str">
        <f>IFERROR(INDEX(Расходка[Наименование расходного материала],MATCH(Расходка[[#This Row],[№]],Поиск_расходки[Индекс6],0)),"")</f>
        <v/>
      </c>
      <c r="X83" s="180" t="str">
        <f>IFERROR(INDEX(Расходка[Наименование расходного материала],MATCH(Расходка[[#This Row],[№]],Поиск_расходки[Индекс7],0)),"")</f>
        <v/>
      </c>
      <c r="Y83" s="180" t="str">
        <f>IFERROR(INDEX(Расходка[Наименование расходного материала],MATCH(Расходка[[#This Row],[№]],Поиск_расходки[Индекс8],0)),"")</f>
        <v/>
      </c>
      <c r="Z83" s="180" t="str">
        <f>IFERROR(INDEX(Расходка[Наименование расходного материала],MATCH(Расходка[[#This Row],[№]],Поиск_расходки[Индекс9],0)),"")</f>
        <v/>
      </c>
      <c r="AA83" s="180" t="str">
        <f>IFERROR(INDEX(Расходка[Наименование расходного материала],MATCH(Расходка[[#This Row],[№]],Поиск_расходки[Индекс10],0)),"")</f>
        <v/>
      </c>
      <c r="AB83" s="180" t="str">
        <f>IFERROR(INDEX(Расходка[Наименование расходного материала],MATCH(Расходка[[#This Row],[№]],Поиск_расходки[Индекс11],0)),"")</f>
        <v/>
      </c>
      <c r="AC83" s="180" t="str">
        <f>IFERROR(INDEX(Расходка[Наименование расходного материала],MATCH(Расходка[[#This Row],[№]],Поиск_расходки[Индекс12],0)),"")</f>
        <v/>
      </c>
      <c r="AD83" s="180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474</v>
      </c>
    </row>
    <row r="84" spans="5:33">
      <c r="AF84" s="4" t="s">
        <v>6</v>
      </c>
      <c r="AG84" s="4" t="s">
        <v>425</v>
      </c>
    </row>
    <row r="85" spans="5:33">
      <c r="AF85" s="4" t="s">
        <v>6</v>
      </c>
      <c r="AG85" s="4" t="s">
        <v>426</v>
      </c>
    </row>
    <row r="86" spans="5:33">
      <c r="AF86" s="4" t="s">
        <v>6</v>
      </c>
      <c r="AG86" s="4" t="s">
        <v>475</v>
      </c>
    </row>
    <row r="87" spans="5:33">
      <c r="AF87" s="4" t="s">
        <v>6</v>
      </c>
      <c r="AG87" s="4" t="s">
        <v>476</v>
      </c>
    </row>
    <row r="88" spans="5:33">
      <c r="AF88" s="4" t="s">
        <v>6</v>
      </c>
      <c r="AG88" s="4" t="s">
        <v>477</v>
      </c>
    </row>
    <row r="89" spans="5:33">
      <c r="AF89" s="4" t="s">
        <v>6</v>
      </c>
      <c r="AG89" s="4" t="s">
        <v>478</v>
      </c>
    </row>
    <row r="90" spans="5:33">
      <c r="AF90" s="4" t="s">
        <v>6</v>
      </c>
      <c r="AG90" s="4" t="s">
        <v>479</v>
      </c>
    </row>
    <row r="91" spans="5:33">
      <c r="AF91" s="4" t="s">
        <v>6</v>
      </c>
      <c r="AG91" s="4" t="s">
        <v>480</v>
      </c>
    </row>
    <row r="92" spans="5:33">
      <c r="AF92" s="4" t="s">
        <v>6</v>
      </c>
      <c r="AG92" s="4" t="s">
        <v>481</v>
      </c>
    </row>
    <row r="93" spans="5:33">
      <c r="AF93" s="4" t="s">
        <v>6</v>
      </c>
      <c r="AG93" s="4" t="s">
        <v>482</v>
      </c>
    </row>
    <row r="94" spans="5:33">
      <c r="AF94" s="4" t="s">
        <v>6</v>
      </c>
      <c r="AG94" s="4" t="s">
        <v>429</v>
      </c>
    </row>
    <row r="95" spans="5:33">
      <c r="AF95" s="4" t="s">
        <v>6</v>
      </c>
      <c r="AG95" s="4" t="s">
        <v>430</v>
      </c>
    </row>
    <row r="96" spans="5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2025-01-24T10:10:52Z</cp:lastPrinted>
  <dcterms:created xsi:type="dcterms:W3CDTF">2015-06-05T18:19:34Z</dcterms:created>
  <dcterms:modified xsi:type="dcterms:W3CDTF">2025-01-24T10:10:56Z</dcterms:modified>
</cp:coreProperties>
</file>