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1" i="1"/>
  <c r="E82" i="1"/>
  <c r="E83" i="1"/>
  <c r="F79" i="1"/>
  <c r="F80" i="1"/>
  <c r="F81" i="1"/>
  <c r="F82" i="1"/>
  <c r="F83" i="1"/>
  <c r="G80" i="1"/>
  <c r="G81" i="1"/>
  <c r="G82" i="1"/>
  <c r="G83" i="1"/>
  <c r="H79" i="1"/>
  <c r="H80" i="1"/>
  <c r="H81" i="1"/>
  <c r="H82" i="1"/>
  <c r="H83" i="1"/>
  <c r="I79" i="1"/>
  <c r="I80" i="1"/>
  <c r="I81" i="1"/>
  <c r="I82" i="1"/>
  <c r="I83" i="1"/>
  <c r="J80" i="1"/>
  <c r="J81" i="1"/>
  <c r="J82" i="1"/>
  <c r="J83" i="1"/>
  <c r="K80" i="1"/>
  <c r="K81" i="1"/>
  <c r="K82" i="1"/>
  <c r="K83" i="1"/>
  <c r="L80" i="1"/>
  <c r="L81" i="1"/>
  <c r="L82" i="1"/>
  <c r="L83" i="1"/>
  <c r="M80" i="1"/>
  <c r="M81" i="1"/>
  <c r="M82" i="1"/>
  <c r="M83" i="1"/>
  <c r="N80" i="1"/>
  <c r="N81" i="1"/>
  <c r="N82" i="1"/>
  <c r="N83" i="1"/>
  <c r="O80" i="1"/>
  <c r="O81" i="1"/>
  <c r="O82" i="1"/>
  <c r="O83" i="1"/>
  <c r="P79" i="1"/>
  <c r="P80" i="1"/>
  <c r="P81" i="1"/>
  <c r="P82" i="1"/>
  <c r="P83" i="1"/>
  <c r="Q79" i="1"/>
  <c r="Q80" i="1"/>
  <c r="Q81" i="1"/>
  <c r="Q82" i="1"/>
  <c r="Q83" i="1"/>
  <c r="R79" i="1"/>
  <c r="R80" i="1"/>
  <c r="R81" i="1"/>
  <c r="R82" i="1"/>
  <c r="R83" i="1"/>
  <c r="S80" i="1"/>
  <c r="S81" i="1"/>
  <c r="S82" i="1"/>
  <c r="S83" i="1"/>
  <c r="T80" i="1"/>
  <c r="T81" i="1"/>
  <c r="T82" i="1"/>
  <c r="T83" i="1"/>
  <c r="U79" i="1"/>
  <c r="U80" i="1"/>
  <c r="U81" i="1"/>
  <c r="U82" i="1"/>
  <c r="U83" i="1"/>
  <c r="V79" i="1"/>
  <c r="V80" i="1"/>
  <c r="V81" i="1"/>
  <c r="V82" i="1"/>
  <c r="V83" i="1"/>
  <c r="W80" i="1"/>
  <c r="W81" i="1"/>
  <c r="W82" i="1"/>
  <c r="W83" i="1"/>
  <c r="X80" i="1"/>
  <c r="X81" i="1"/>
  <c r="X82" i="1"/>
  <c r="X83" i="1"/>
  <c r="Y80" i="1"/>
  <c r="Y81" i="1"/>
  <c r="Y82" i="1"/>
  <c r="Y83" i="1"/>
  <c r="Z80" i="1"/>
  <c r="Z81" i="1"/>
  <c r="Z82" i="1"/>
  <c r="Z83" i="1"/>
  <c r="AA80" i="1"/>
  <c r="AA81" i="1"/>
  <c r="AA82" i="1"/>
  <c r="AA83" i="1"/>
  <c r="AB80" i="1"/>
  <c r="AB81" i="1"/>
  <c r="AB82" i="1"/>
  <c r="AB83" i="1"/>
  <c r="AC79" i="1"/>
  <c r="AC80" i="1"/>
  <c r="AC81" i="1"/>
  <c r="AC82" i="1"/>
  <c r="AC83" i="1"/>
  <c r="AD79" i="1"/>
  <c r="AD80" i="1"/>
  <c r="AD81" i="1"/>
  <c r="AD82" i="1"/>
  <c r="AD83" i="1"/>
  <c r="A65" i="1"/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P10" i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4" i="1" l="1"/>
  <c r="O15" i="1" s="1"/>
  <c r="P11" i="1"/>
  <c r="P12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6" i="1" l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O75" i="1" s="1"/>
  <c r="Q76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Q77" i="1" l="1"/>
  <c r="O76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AC16" i="1"/>
  <c r="M36" i="1"/>
  <c r="AC22" i="1"/>
  <c r="O78" i="1" l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K51" i="1"/>
  <c r="G50" i="1"/>
  <c r="AD38" i="1"/>
  <c r="N44" i="1"/>
  <c r="AB43" i="1"/>
  <c r="L38" i="1"/>
  <c r="L39" i="1" s="1"/>
  <c r="AB33" i="1"/>
  <c r="M37" i="1"/>
  <c r="AB65" i="1" l="1"/>
  <c r="O79" i="1"/>
  <c r="AB76" i="1"/>
  <c r="AB6" i="1"/>
  <c r="AB63" i="1"/>
  <c r="AB74" i="1"/>
  <c r="AB4" i="1"/>
  <c r="AB57" i="1"/>
  <c r="AB68" i="1"/>
  <c r="AB75" i="1"/>
  <c r="AB5" i="1"/>
  <c r="AB64" i="1"/>
  <c r="AB39" i="1"/>
  <c r="AB41" i="1"/>
  <c r="AB30" i="1"/>
  <c r="AB71" i="1"/>
  <c r="AB61" i="1"/>
  <c r="AB56" i="1"/>
  <c r="AB25" i="1"/>
  <c r="AB21" i="1"/>
  <c r="AB40" i="1"/>
  <c r="AB13" i="1"/>
  <c r="AB78" i="1"/>
  <c r="AB79" i="1"/>
  <c r="AB62" i="1"/>
  <c r="AB16" i="1"/>
  <c r="AB58" i="1"/>
  <c r="AB22" i="1"/>
  <c r="AB34" i="1"/>
  <c r="AB59" i="1"/>
  <c r="AB37" i="1"/>
  <c r="AB19" i="1"/>
  <c r="AB60" i="1"/>
  <c r="AB67" i="1"/>
  <c r="AB17" i="1"/>
  <c r="AB31" i="1"/>
  <c r="AB18" i="1"/>
  <c r="AB36" i="1"/>
  <c r="AB42" i="1"/>
  <c r="AB66" i="1"/>
  <c r="AB15" i="1"/>
  <c r="AB29" i="1"/>
  <c r="AB7" i="1"/>
  <c r="AB32" i="1"/>
  <c r="AB70" i="1"/>
  <c r="AB26" i="1"/>
  <c r="AB72" i="1"/>
  <c r="AB69" i="1"/>
  <c r="AB73" i="1"/>
  <c r="AB77" i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66" i="1" l="1"/>
  <c r="S79" i="1"/>
  <c r="S3" i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" i="1"/>
  <c r="U4" i="1"/>
  <c r="U25" i="1"/>
  <c r="U9" i="1"/>
  <c r="U29" i="1"/>
  <c r="U22" i="1"/>
  <c r="U35" i="1"/>
  <c r="U11" i="1"/>
  <c r="U38" i="1" l="1"/>
  <c r="U15" i="1"/>
  <c r="U18" i="1"/>
  <c r="U32" i="1"/>
  <c r="U17" i="1"/>
  <c r="U13" i="1"/>
  <c r="U7" i="1"/>
  <c r="U20" i="1"/>
  <c r="U24" i="1"/>
  <c r="U30" i="1"/>
  <c r="U12" i="1"/>
  <c r="U31" i="1"/>
  <c r="U5" i="1"/>
  <c r="U8" i="1"/>
  <c r="U28" i="1"/>
  <c r="U6" i="1"/>
  <c r="U33" i="1"/>
  <c r="U10" i="1"/>
  <c r="U26" i="1"/>
  <c r="U14" i="1"/>
  <c r="U19" i="1"/>
  <c r="U16" i="1"/>
  <c r="U21" i="1"/>
  <c r="U23" i="1"/>
  <c r="U77" i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 s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J79" i="1" l="1"/>
  <c r="W79" i="1" s="1"/>
  <c r="W73" i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46" i="1" s="1"/>
  <c r="V68" i="1"/>
  <c r="V72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3" i="1" l="1"/>
  <c r="V9" i="1"/>
  <c r="V62" i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G62" i="1"/>
  <c r="M51" i="1"/>
  <c r="M52" i="1" s="1"/>
  <c r="M53" i="1" s="1"/>
  <c r="L50" i="1"/>
  <c r="G63" i="1" l="1"/>
  <c r="K75" i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T2" i="1" l="1"/>
  <c r="K77" i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K79" i="1" s="1"/>
  <c r="X25" i="1" s="1"/>
  <c r="AC68" i="1"/>
  <c r="G74" i="1"/>
  <c r="G75" i="1" s="1"/>
  <c r="P74" i="1"/>
  <c r="N72" i="1"/>
  <c r="L67" i="1"/>
  <c r="M61" i="1"/>
  <c r="X21" i="1" l="1"/>
  <c r="X63" i="1"/>
  <c r="X18" i="1"/>
  <c r="X31" i="1"/>
  <c r="X28" i="1"/>
  <c r="X58" i="1"/>
  <c r="X22" i="1"/>
  <c r="X19" i="1"/>
  <c r="X27" i="1"/>
  <c r="X35" i="1"/>
  <c r="X20" i="1"/>
  <c r="X79" i="1"/>
  <c r="X49" i="1"/>
  <c r="X2" i="1"/>
  <c r="X36" i="1"/>
  <c r="X75" i="1"/>
  <c r="X46" i="1"/>
  <c r="X15" i="1"/>
  <c r="X17" i="1"/>
  <c r="N73" i="1"/>
  <c r="N74" i="1" s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G78" i="1" l="1"/>
  <c r="G79" i="1" s="1"/>
  <c r="P76" i="1"/>
  <c r="N75" i="1"/>
  <c r="L69" i="1"/>
  <c r="M63" i="1"/>
  <c r="M64" i="1" s="1"/>
  <c r="M65" i="1" s="1"/>
  <c r="M66" i="1" s="1"/>
  <c r="T3" i="1" l="1"/>
  <c r="T79" i="1"/>
  <c r="T77" i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P78" i="1" l="1"/>
  <c r="AC78" i="1" s="1"/>
  <c r="N77" i="1"/>
  <c r="AC75" i="1"/>
  <c r="AC76" i="1"/>
  <c r="L71" i="1"/>
  <c r="L72" i="1" s="1"/>
  <c r="L73" i="1" s="1"/>
  <c r="M68" i="1"/>
  <c r="AC77" i="1" l="1"/>
  <c r="N78" i="1"/>
  <c r="N79" i="1" s="1"/>
  <c r="AA79" i="1" s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M72" i="1"/>
  <c r="L79" i="1" l="1"/>
  <c r="Y2" i="1"/>
  <c r="Y76" i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Y78" i="1" l="1"/>
  <c r="Y12" i="1"/>
  <c r="Y58" i="1"/>
  <c r="Y42" i="1"/>
  <c r="Y16" i="1"/>
  <c r="Y44" i="1"/>
  <c r="Y7" i="1"/>
  <c r="Y24" i="1"/>
  <c r="Y38" i="1"/>
  <c r="Y26" i="1"/>
  <c r="Y18" i="1"/>
  <c r="Y50" i="1"/>
  <c r="Y19" i="1"/>
  <c r="Y21" i="1"/>
  <c r="Y29" i="1"/>
  <c r="Y33" i="1"/>
  <c r="Y39" i="1"/>
  <c r="Y54" i="1"/>
  <c r="Y5" i="1"/>
  <c r="Y13" i="1"/>
  <c r="Y37" i="1"/>
  <c r="Y28" i="1"/>
  <c r="Y32" i="1"/>
  <c r="Y53" i="1"/>
  <c r="Y22" i="1"/>
  <c r="Y6" i="1"/>
  <c r="Y31" i="1"/>
  <c r="Y61" i="1"/>
  <c r="Y57" i="1"/>
  <c r="Y23" i="1"/>
  <c r="Y75" i="1"/>
  <c r="Y64" i="1"/>
  <c r="Y65" i="1"/>
  <c r="Y73" i="1"/>
  <c r="Y69" i="1"/>
  <c r="Y72" i="1"/>
  <c r="Y70" i="1"/>
  <c r="Y79" i="1"/>
  <c r="M74" i="1"/>
  <c r="M75" i="1" s="1"/>
  <c r="M76" i="1" l="1"/>
  <c r="M77" i="1" l="1"/>
  <c r="M78" i="1" l="1"/>
  <c r="M79" i="1" s="1"/>
  <c r="Z78" i="1" l="1"/>
  <c r="Z79" i="1"/>
  <c r="Z2" i="1"/>
  <c r="Z75" i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<sst xmlns="http://schemas.openxmlformats.org/spreadsheetml/2006/main" count="898" uniqueCount="541">
  <si>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</si>
  <si>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</si>
  <si>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</si>
  <si>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</si>
  <si>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</si>
  <si>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</si>
  <si>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</si>
  <si>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</si>
  <si>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</si>
  <si>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</si>
  <si>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</si>
  <si>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</si>
  <si>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</si>
  <si>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</si>
  <si>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</si>
  <si>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</si>
  <si>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</si>
  <si>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</si>
  <si>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</si>
  <si>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</si>
  <si>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</si>
  <si>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</si>
  <si>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</si>
  <si>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</si>
  <si>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</si>
  <si>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</si>
  <si>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</si>
  <si>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</si>
  <si>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</si>
  <si>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</si>
  <si>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</si>
  <si>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</si>
  <si>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</si>
  <si>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</si>
  <si>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</si>
  <si>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</si>
  <si>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</si>
  <si>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</si>
  <si>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</si>
  <si>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</si>
  <si>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</si>
  <si>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</si>
  <si>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</si>
  <si>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</si>
  <si>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</si>
  <si>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</si>
  <si>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</si>
  <si>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</si>
  <si>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</si>
  <si>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</si>
  <si>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</si>
  <si>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</si>
  <si>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</si>
  <si>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</si>
  <si>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</si>
  <si>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</si>
  <si>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</si>
  <si>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</si>
  <si>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</si>
  <si>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</si>
  <si>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</si>
  <si>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</si>
  <si>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</si>
  <si>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</si>
  <si>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</si>
  <si>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</si>
  <si>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</si>
  <si>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</si>
  <si>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</si>
  <si>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</si>
  <si>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</si>
  <si>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</si>
  <si>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</si>
  <si>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</si>
  <si>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</si>
  <si>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</si>
  <si>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</si>
  <si>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</si>
  <si>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</si>
  <si>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</si>
  <si>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</si>
  <si>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</si>
  <si>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</si>
  <si>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</si>
  <si>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</si>
  <si>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</si>
  <si>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</si>
  <si>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</si>
  <si>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</si>
  <si>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</si>
  <si>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</si>
  <si>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</si>
  <si>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</si>
  <si>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</si>
  <si>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</si>
  <si>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</si>
  <si>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</si>
  <si>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</si>
  <si>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</si>
  <si>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</si>
  <si>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</si>
  <si>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</si>
  <si>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</si>
  <si>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</si>
  <si>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</si>
  <si>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</si>
  <si>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</si>
  <si>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</si>
  <si>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</si>
  <si>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</si>
  <si>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</si>
  <si>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</si>
  <si>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</si>
  <si>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</si>
  <si>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</si>
  <si>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</si>
  <si>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</si>
  <si>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</si>
  <si>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</si>
  <si>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</si>
  <si>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</si>
  <si>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</si>
  <si>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</si>
  <si>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</si>
  <si>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</si>
  <si>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</si>
  <si>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</si>
  <si>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</si>
  <si>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</si>
  <si>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</si>
  <si>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</si>
  <si>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</si>
  <si>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</si>
  <si>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</si>
  <si>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</si>
  <si>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</si>
  <si>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</si>
  <si>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</si>
  <si>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</si>
  <si>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</si>
  <si>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</si>
  <si>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</si>
  <si>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</si>
  <si>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</si>
  <si>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</si>
  <si>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</si>
  <si>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</si>
  <si>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</si>
  <si>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</si>
  <si>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</si>
  <si>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</si>
  <si>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</si>
  <si>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</si>
  <si>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</si>
  <si>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</si>
  <si>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</si>
  <si>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</si>
  <si>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</si>
  <si>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</si>
  <si>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</si>
  <si>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</si>
  <si>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</si>
  <si>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</si>
  <si>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</si>
  <si>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</si>
  <si>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</si>
  <si>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</si>
  <si>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</si>
  <si>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</si>
  <si>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</si>
  <si>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</si>
  <si>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</si>
  <si>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</si>
  <si>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</si>
  <si>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</si>
  <si>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</si>
  <si>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</si>
  <si>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</si>
  <si>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</si>
  <si>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</si>
  <si>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</si>
  <si>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</si>
  <si>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</si>
  <si>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</si>
  <si>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</si>
  <si>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</si>
  <si>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</si>
  <si>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</si>
  <si>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</si>
  <si>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</si>
  <si>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</si>
  <si>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</si>
  <si>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</si>
  <si>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</si>
  <si>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</si>
  <si>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</si>
  <si>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</si>
  <si>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</si>
  <si>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</si>
  <si>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</si>
  <si>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</si>
  <si>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</si>
  <si>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</si>
  <si>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</si>
  <si>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</si>
  <si>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</si>
  <si>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</si>
  <si>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</si>
  <si>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</si>
  <si>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</si>
  <si>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</si>
  <si>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</si>
  <si>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</si>
  <si>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</si>
  <si>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</si>
  <si>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</si>
  <si>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</si>
  <si>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</si>
  <si>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</si>
  <si>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</si>
  <si>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</si>
  <si>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</si>
  <si>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</si>
  <si>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</si>
  <si>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</si>
  <si>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</si>
  <si>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</si>
  <si>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</si>
  <si>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</si>
  <si>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</si>
  <si>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</si>
  <si>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</si>
  <si>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</si>
  <si>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</si>
  <si>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</si>
  <si>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</si>
  <si>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</si>
  <si>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</si>
  <si>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</si>
  <si>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</si>
  <si>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</si>
  <si>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</si>
  <si>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</si>
  <si>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</si>
  <si>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</si>
  <si>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</si>
  <si>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</si>
  <si>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</si>
  <si>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</si>
  <si>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</si>
  <si>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</si>
  <si>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</si>
  <si>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</si>
  <si>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</si>
  <si>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</si>
  <si>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</si>
  <si>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</si>
  <si>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</si>
  <si>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</si>
  <si>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</si>
  <si>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</si>
  <si>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</si>
  <si>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</si>
  <si>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</si>
  <si>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</si>
  <si>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</si>
  <si>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</si>
  <si>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</si>
  <si>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</si>
  <si>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</si>
  <si>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</si>
  <si>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</si>
  <si>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</si>
  <si>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</si>
  <si>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</si>
  <si>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</si>
  <si>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</si>
  <si>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</si>
  <si>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</si>
  <si>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</si>
  <si>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</si>
  <si>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</si>
  <si>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</si>
  <si>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</si>
  <si>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</si>
  <si>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</si>
  <si>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</si>
  <si>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</si>
  <si>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</si>
  <si>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</si>
  <si>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</si>
  <si>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</si>
  <si>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</si>
  <si>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</si>
  <si>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</si>
  <si>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</si>
  <si>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</si>
  <si>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</si>
  <si>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</si>
  <si>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</si>
  <si>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</si>
  <si>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</si>
  <si>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</si>
  <si>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</si>
  <si>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</si>
  <si>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</si>
  <si>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</si>
  <si>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</si>
  <si>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</si>
  <si>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</si>
  <si>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</si>
  <si>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</si>
  <si>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</si>
  <si>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</si>
  <si>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</si>
  <si>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</si>
  <si>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</si>
  <si>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</si>
  <si>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</si>
  <si>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</si>
  <si>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</si>
  <si>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</si>
  <si>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</si>
  <si>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</si>
  <si>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</si>
  <si>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</si>
  <si>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</si>
  <si>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</si>
  <si>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</si>
  <si>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</si>
  <si>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</si>
  <si>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</si>
  <si>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</si>
  <si>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</si>
  <si>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</si>
  <si>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</si>
  <si>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</si>
  <si>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</si>
  <si>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</si>
  <si>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</si>
  <si>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</si>
  <si>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</si>
  <si>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</si>
  <si>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</si>
  <si>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</si>
  <si>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</si>
  <si>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</si>
  <si>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</si>
  <si>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</si>
  <si>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</si>
  <si>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</si>
  <si>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</si>
  <si>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</si>
  <si>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</si>
  <si>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</si>
  <si>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</si>
  <si>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</si>
  <si>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</si>
  <si>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</si>
  <si>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</si>
  <si>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</si>
  <si>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</si>
  <si>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</si>
  <si>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</si>
  <si>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</si>
  <si>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</si>
  <si>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</si>
  <si>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</si>
  <si>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</si>
  <si>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</si>
  <si>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</si>
  <si>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</si>
  <si>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</si>
  <si>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</si>
  <si>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</si>
  <si>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</si>
  <si>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</si>
  <si>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</si>
  <si>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</si>
  <si>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</si>
  <si>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</si>
  <si>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</si>
  <si>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</si>
  <si>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</si>
  <si>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</si>
  <si>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</si>
  <si>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</si>
  <si>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</si>
  <si>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</si>
  <si>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</si>
  <si>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</si>
  <si>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</si>
  <si>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</si>
  <si>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</si>
  <si>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</si>
  <si>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</si>
  <si>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</si>
  <si>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</si>
  <si>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</si>
  <si>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</si>
  <si>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</si>
  <si>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</si>
  <si>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</si>
  <si>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</si>
  <si>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</si>
  <si>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</si>
  <si>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</si>
  <si>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</si>
  <si>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</si>
  <si>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</si>
  <si>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</si>
  <si>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</si>
  <si>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</si>
  <si>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</si>
  <si>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</si>
  <si>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</si>
  <si>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</si>
  <si>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</si>
  <si>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</si>
  <si>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</si>
  <si>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</si>
  <si>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</si>
  <si>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</si>
  <si>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</si>
  <si>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</si>
  <si>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</si>
  <si>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</si>
  <si>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</si>
  <si>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</si>
  <si>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</si>
  <si>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</si>
  <si>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</si>
  <si>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</si>
  <si>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</si>
  <si>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</si>
  <si>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</si>
  <si>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</si>
  <si>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</si>
  <si>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</si>
  <si>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</si>
  <si>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</si>
  <si>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</si>
  <si>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</si>
  <si>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</si>
  <si>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</si>
  <si>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</si>
  <si>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</si>
  <si>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</si>
  <si>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</si>
  <si>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</si>
  <si>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</si>
  <si>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</si>
  <si>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</si>
  <si>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</si>
  <si>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</si>
  <si>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</si>
  <si>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</si>
  <si>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</si>
  <si>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</si>
  <si>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</si>
  <si>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</si>
  <si>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</si>
  <si>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</si>
  <si>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</si>
  <si>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</si>
  <si>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</si>
  <si>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</si>
  <si>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</si>
  <si>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</si>
  <si>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</si>
  <si>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</si>
  <si>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</si>
  <si>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</si>
  <si>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</si>
  <si>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</si>
  <si>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</si>
  <si>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</si>
  <si>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</si>
  <si>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</si>
  <si>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</si>
  <si>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</si>
  <si>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</si>
  <si>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</si>
  <si>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</si>
  <si>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</si>
  <si>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</si>
  <si>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</si>
  <si>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</si>
  <si>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</si>
  <si>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</si>
  <si>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</si>
  <si>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</si>
  <si>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</si>
  <si>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</si>
  <si>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</si>
  <si>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</si>
  <si>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</si>
  <si>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</si>
  <si>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</si>
  <si>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</si>
  <si>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</si>
  <si>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</si>
  <si>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</si>
  <si>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</si>
  <si>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</si>
  <si>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</si>
  <si>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</si>
  <si>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</si>
  <si>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</si>
  <si>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</si>
  <si>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</si>
  <si>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</si>
  <si>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</si>
  <si>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</si>
  <si>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</si>
  <si>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</si>
  <si>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</si>
  <si>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</si>
  <si>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</si>
  <si>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</si>
  <si>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</si>
  <si>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</si>
  <si>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</si>
  <si>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</si>
  <si>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</si>
  <si>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</si>
  <si>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</si>
  <si>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лучевой</t>
  </si>
  <si>
    <t>Оставлен</t>
  </si>
  <si>
    <t xml:space="preserve">Контроль места пункции, повязка  на руке до 6 ч. </t>
  </si>
  <si>
    <t>Metafor</t>
  </si>
  <si>
    <t>Экстренное ЧКВ в ПКА</t>
  </si>
  <si>
    <t>07:18</t>
  </si>
  <si>
    <t>1760</t>
  </si>
  <si>
    <t>проходим, контуры ровные</t>
  </si>
  <si>
    <r>
      <t xml:space="preserve">стеноз устья ПНА 30%, выраженный миокардиальный мостик среднего сегмента с компрессией в систоу 90%. Антеградный кровоток TIMI III. </t>
    </r>
    <r>
      <rPr>
        <b/>
        <sz val="12"/>
        <color theme="1"/>
        <rFont val="Arial Narrow"/>
        <family val="2"/>
        <charset val="204"/>
      </rPr>
      <t>ИМА:</t>
    </r>
    <r>
      <rPr>
        <sz val="12"/>
        <color theme="1"/>
        <rFont val="Arial Narrow"/>
        <family val="2"/>
        <charset val="204"/>
      </rPr>
      <t xml:space="preserve"> стеноз устья 30%.  Антеградный кровоток TIMI III. </t>
    </r>
  </si>
  <si>
    <t xml:space="preserve">проходим, контуры ровные. Антеградный кровоток TIMI III.  </t>
  </si>
  <si>
    <t xml:space="preserve">пролонгированный стеноз 30% среднего сегмента, нестабильный субокклюзирующий  стеноз дистального сегмента, TTG1, Rentrop 0.   Антеградный кровоток - TIMI I. </t>
  </si>
  <si>
    <t xml:space="preserve">Сбалансированный </t>
  </si>
  <si>
    <t>Зайцев К.Г.</t>
  </si>
  <si>
    <t>Устье ПКА катетеризировано проводниковым катетером Launcher JR 3,5 6Fr.  Коронарный проводник shunmei 0/7 проведен  в дистальный сегмент ПКА. Реканализация артерии на проводнике. В зону нестабилльного субоккюзирующего стеноза дистального сегмента  имплантирован DES Resolute Integryti  3,5 х 34 мм, давлением 7 атм. Оптимизация стента на всем протяжении БК Колибри 3.0-15. На контрольных съемках стент  раскрыт  удовлетворительно, тромбоза, диссекций, экстравазации контрастного вещества не выявлено. Ангиографический результат удовлетворительный. Антеградный кровоток в ПКА востановлен до  TIMI III. Пациент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</si>
</sst>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theme="1"/>
      <name val="Arial Narrow"/>
      <family val="2"/>
      <charset val="204"/>
    </font>
    <font>
      <sz val="10"/>
      <color theme="1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4" fillId="9" borderId="21" applyNumberFormat="0" applyAlignment="0" applyProtection="0"/>
    <xf numFmtId="0" fontId="1" fillId="14" borderId="0" applyNumberFormat="0" applyBorder="0" applyAlignment="0" applyProtection="0"/>
  </cellStyleXfs>
  <cellXfs count="26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0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0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1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7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4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2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0" fillId="0" borderId="0" xfId="0" applyFont="1" applyAlignment="1">
      <alignment vertical="top"/>
    </xf>
    <xf numFmtId="0" fontId="30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41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46" fillId="9" borderId="21" xfId="7" applyFont="1" applyAlignment="1">
      <alignment horizontal="left" vertical="center"/>
    </xf>
    <xf numFmtId="14" fontId="45" fillId="9" borderId="22" xfId="7" applyNumberFormat="1" applyFont="1" applyBorder="1" applyAlignment="1" applyProtection="1">
      <alignment horizontal="right" vertical="center"/>
    </xf>
    <xf numFmtId="0" fontId="45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46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8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5" fillId="0" borderId="0" xfId="0" applyFont="1" applyAlignment="1">
      <alignment horizontal="centerContinuous" vertical="center"/>
    </xf>
    <xf numFmtId="0" fontId="47" fillId="0" borderId="0" xfId="0" applyFont="1" applyAlignment="1" applyProtection="1">
      <alignment vertical="top" wrapText="1"/>
      <protection locked="0"/>
    </xf>
    <xf numFmtId="0" fontId="50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46" fillId="9" borderId="23" xfId="7" applyFont="1" applyBorder="1" applyAlignment="1">
      <alignment horizontal="left" vertical="center"/>
    </xf>
    <xf numFmtId="0" fontId="44" fillId="9" borderId="12" xfId="7" applyBorder="1" applyAlignment="1" applyProtection="1">
      <alignment horizontal="left" vertical="center"/>
    </xf>
    <xf numFmtId="0" fontId="44" fillId="9" borderId="24" xfId="7" applyBorder="1" applyAlignment="1" applyProtection="1">
      <alignment horizontal="justify" vertical="justify" wrapText="1"/>
    </xf>
    <xf numFmtId="0" fontId="44" fillId="9" borderId="24" xfId="7" applyBorder="1" applyAlignment="1" applyProtection="1">
      <alignment horizontal="justify" vertical="top" wrapText="1"/>
    </xf>
    <xf numFmtId="0" fontId="52" fillId="0" borderId="25" xfId="0" applyFont="1" applyBorder="1" applyAlignment="1" applyProtection="1">
      <alignment horizontal="center" vertical="center"/>
      <protection locked="0"/>
    </xf>
    <xf numFmtId="0" fontId="53" fillId="4" borderId="28" xfId="0" applyFont="1" applyFill="1" applyBorder="1" applyAlignment="1">
      <alignment horizontal="center" vertical="center"/>
    </xf>
    <xf numFmtId="0" fontId="53" fillId="4" borderId="29" xfId="0" applyFont="1" applyFill="1" applyBorder="1" applyAlignment="1">
      <alignment horizontal="center" vertical="center"/>
    </xf>
    <xf numFmtId="0" fontId="53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2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2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2" fillId="0" borderId="35" xfId="0" applyFont="1" applyBorder="1" applyAlignment="1" applyProtection="1">
      <alignment horizontal="center" vertical="center"/>
      <protection locked="0"/>
    </xf>
    <xf numFmtId="0" fontId="52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1" fillId="9" borderId="38" xfId="7" applyNumberFormat="1" applyFont="1" applyBorder="1" applyAlignment="1">
      <alignment horizontal="left" vertical="center"/>
    </xf>
    <xf numFmtId="14" fontId="45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2" fillId="0" borderId="26" xfId="0" applyFont="1" applyBorder="1" applyAlignment="1" applyProtection="1">
      <alignment horizontal="justify" vertical="center" wrapText="1"/>
      <protection locked="0"/>
    </xf>
    <xf numFmtId="0" fontId="52" fillId="0" borderId="25" xfId="0" applyFont="1" applyBorder="1" applyAlignment="1" applyProtection="1">
      <alignment horizontal="justify" vertical="center" wrapText="1"/>
      <protection locked="0"/>
    </xf>
    <xf numFmtId="16" fontId="52" fillId="0" borderId="25" xfId="0" applyNumberFormat="1" applyFont="1" applyBorder="1" applyAlignment="1" applyProtection="1">
      <alignment horizontal="justify" vertical="center" wrapText="1"/>
      <protection locked="0"/>
    </xf>
    <xf numFmtId="0" fontId="52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4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2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57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3" fillId="0" borderId="20" xfId="0" applyNumberFormat="1" applyFont="1" applyBorder="1" applyAlignment="1" applyProtection="1">
      <alignment horizontal="left" vertical="center" wrapText="1"/>
      <protection locked="0"/>
    </xf>
    <xf numFmtId="0" fontId="58" fillId="0" borderId="0" xfId="0" applyFont="1" applyAlignment="1">
      <alignment horizontal="centerContinuous" vertical="top" wrapText="1"/>
    </xf>
    <xf numFmtId="0" fontId="58" fillId="0" borderId="13" xfId="0" applyFont="1" applyBorder="1" applyAlignment="1">
      <alignment horizontal="centerContinuous" vertical="top" wrapText="1"/>
    </xf>
    <xf numFmtId="0" fontId="59" fillId="0" borderId="12" xfId="0" applyFont="1" applyBorder="1" applyAlignment="1" applyProtection="1">
      <alignment vertical="top" wrapText="1"/>
      <protection locked="0"/>
    </xf>
    <xf numFmtId="0" fontId="60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59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1" fillId="0" borderId="0" xfId="0" applyFont="1" applyAlignment="1" applyProtection="1">
      <alignment vertical="top" wrapText="1"/>
      <protection locked="0"/>
    </xf>
    <xf numFmtId="49" fontId="43" fillId="0" borderId="20" xfId="0" applyNumberFormat="1" applyFont="1" applyBorder="1" applyAlignment="1">
      <alignment horizontal="left" vertical="center" wrapText="1"/>
    </xf>
    <xf numFmtId="0" fontId="43" fillId="0" borderId="20" xfId="0" applyFont="1" applyBorder="1" applyAlignment="1">
      <alignment horizontal="left" vertical="center" wrapText="1"/>
    </xf>
    <xf numFmtId="14" fontId="52" fillId="0" borderId="25" xfId="0" applyNumberFormat="1" applyFont="1" applyBorder="1" applyAlignment="1" applyProtection="1">
      <alignment horizontal="center" vertical="center"/>
      <protection locked="0"/>
    </xf>
    <xf numFmtId="0" fontId="58" fillId="0" borderId="12" xfId="0" applyFont="1" applyBorder="1" applyAlignment="1">
      <alignment horizontal="centerContinuous"/>
    </xf>
    <xf numFmtId="0" fontId="16" fillId="0" borderId="13" xfId="0" applyFont="1" applyBorder="1" applyAlignment="1" applyProtection="1">
      <alignment horizontal="fill" vertical="center"/>
      <protection hidden="1"/>
    </xf>
    <xf numFmtId="14" fontId="52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4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4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7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43" fillId="0" borderId="11" xfId="0" applyFont="1" applyBorder="1" applyAlignment="1">
      <alignment horizontal="right" vertical="top"/>
    </xf>
    <xf numFmtId="0" fontId="63" fillId="0" borderId="12" xfId="0" applyFont="1" applyBorder="1" applyAlignment="1">
      <alignment horizontal="left" vertical="center"/>
    </xf>
    <xf numFmtId="0" fontId="37" fillId="0" borderId="0" xfId="0" applyFont="1" applyAlignment="1" applyProtection="1">
      <alignment vertical="center"/>
      <protection locked="0"/>
    </xf>
    <xf numFmtId="0" fontId="0" fillId="0" borderId="0" xfId="0" applyFont="1"/>
    <xf numFmtId="0" fontId="63" fillId="0" borderId="0" xfId="0" applyFont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63" fillId="0" borderId="10" xfId="0" applyFont="1" applyBorder="1" applyAlignment="1">
      <alignment horizontal="left" vertical="top" wrapText="1"/>
    </xf>
    <xf numFmtId="0" fontId="37" fillId="0" borderId="0" xfId="0" applyFont="1"/>
    <xf numFmtId="0" fontId="64" fillId="0" borderId="0" xfId="0" applyFont="1" applyAlignment="1">
      <alignment vertical="top" wrapText="1"/>
    </xf>
    <xf numFmtId="0" fontId="37" fillId="0" borderId="8" xfId="0" applyFont="1" applyBorder="1"/>
    <xf numFmtId="0" fontId="37" fillId="0" borderId="3" xfId="0" applyFont="1" applyBorder="1"/>
    <xf numFmtId="0" fontId="64" fillId="0" borderId="3" xfId="0" applyFont="1" applyBorder="1" applyAlignment="1">
      <alignment vertical="top" wrapText="1"/>
    </xf>
    <xf numFmtId="0" fontId="37" fillId="0" borderId="9" xfId="0" applyFont="1" applyBorder="1"/>
    <xf numFmtId="0" fontId="64" fillId="0" borderId="8" xfId="0" applyFont="1" applyBorder="1" applyAlignment="1">
      <alignment vertical="top" wrapText="1"/>
    </xf>
    <xf numFmtId="0" fontId="37" fillId="0" borderId="12" xfId="0" applyFont="1" applyBorder="1"/>
    <xf numFmtId="0" fontId="64" fillId="0" borderId="12" xfId="0" applyFont="1" applyBorder="1" applyAlignment="1">
      <alignment vertical="top" wrapText="1"/>
    </xf>
    <xf numFmtId="0" fontId="37" fillId="0" borderId="0" xfId="0" applyFont="1" applyAlignment="1" applyProtection="1">
      <alignment horizontal="left"/>
      <protection locked="0"/>
    </xf>
    <xf numFmtId="0" fontId="65" fillId="0" borderId="0" xfId="0" applyFont="1" applyAlignment="1">
      <alignment horizontal="left"/>
    </xf>
    <xf numFmtId="0" fontId="17" fillId="0" borderId="12" xfId="0" applyFont="1" applyBorder="1"/>
    <xf numFmtId="0" fontId="16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6" fillId="6" borderId="7" xfId="4" applyNumberFormat="1" applyFont="1" applyBorder="1" applyAlignment="1" applyProtection="1">
      <alignment horizontal="left" vertical="center"/>
      <protection locked="0"/>
    </xf>
    <xf numFmtId="0" fontId="27" fillId="0" borderId="0" xfId="0" applyFont="1" applyAlignment="1">
      <alignment vertical="top"/>
    </xf>
    <xf numFmtId="20" fontId="16" fillId="0" borderId="13" xfId="0" applyNumberFormat="1" applyFont="1" applyBorder="1" applyAlignment="1" applyProtection="1">
      <alignment horizontal="left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5" fillId="0" borderId="0" xfId="0" applyFont="1" applyAlignment="1">
      <alignment horizontal="left" vertical="center" wrapText="1"/>
    </xf>
    <xf numFmtId="0" fontId="49" fillId="0" borderId="0" xfId="0" applyFont="1" applyAlignment="1" applyProtection="1">
      <alignment horizontal="justify" vertical="top" wrapText="1"/>
      <protection locked="0"/>
    </xf>
    <xf numFmtId="0" fontId="49" fillId="0" borderId="13" xfId="0" applyFont="1" applyBorder="1" applyAlignment="1" applyProtection="1">
      <alignment horizontal="justify" vertical="top" wrapText="1"/>
      <protection locked="0"/>
    </xf>
    <xf numFmtId="0" fontId="36" fillId="0" borderId="12" xfId="0" applyFont="1" applyBorder="1" applyAlignment="1" applyProtection="1">
      <alignment horizontal="center" vertical="center" wrapText="1"/>
      <protection locked="0"/>
    </xf>
    <xf numFmtId="0" fontId="36" fillId="0" borderId="0" xfId="0" applyFont="1" applyAlignment="1" applyProtection="1">
      <alignment horizontal="center" vertical="center" wrapText="1"/>
      <protection locked="0"/>
    </xf>
    <xf numFmtId="0" fontId="36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49" fillId="0" borderId="5" xfId="0" applyFont="1" applyBorder="1" applyAlignment="1" applyProtection="1">
      <alignment horizontal="justify" vertical="top" wrapText="1"/>
      <protection locked="0"/>
    </xf>
    <xf numFmtId="0" fontId="49" fillId="0" borderId="11" xfId="0" applyFont="1" applyBorder="1" applyAlignment="1" applyProtection="1">
      <alignment horizontal="justify" vertical="top" wrapText="1"/>
      <protection locked="0"/>
    </xf>
    <xf numFmtId="0" fontId="49" fillId="0" borderId="3" xfId="0" applyFont="1" applyBorder="1" applyAlignment="1" applyProtection="1">
      <alignment horizontal="justify" vertical="top" wrapText="1"/>
      <protection locked="0"/>
    </xf>
    <xf numFmtId="0" fontId="49" fillId="0" borderId="9" xfId="0" applyFont="1" applyBorder="1" applyAlignment="1" applyProtection="1">
      <alignment horizontal="justify" vertical="top" wrapText="1"/>
      <protection locked="0"/>
    </xf>
    <xf numFmtId="0" fontId="68" fillId="0" borderId="5" xfId="0" applyFont="1" applyBorder="1" applyAlignment="1" applyProtection="1">
      <alignment horizontal="justify" vertical="top" wrapText="1"/>
      <protection locked="0"/>
    </xf>
    <xf numFmtId="0" fontId="55" fillId="0" borderId="10" xfId="0" applyFont="1" applyBorder="1" applyAlignment="1">
      <alignment horizontal="justify" vertical="distributed" wrapText="1"/>
    </xf>
    <xf numFmtId="0" fontId="55" fillId="0" borderId="5" xfId="0" applyFont="1" applyBorder="1" applyAlignment="1">
      <alignment wrapText="1"/>
    </xf>
    <xf numFmtId="0" fontId="55" fillId="0" borderId="11" xfId="0" applyFont="1" applyBorder="1" applyAlignment="1">
      <alignment wrapText="1"/>
    </xf>
    <xf numFmtId="0" fontId="55" fillId="0" borderId="12" xfId="0" applyFont="1" applyBorder="1" applyAlignment="1">
      <alignment wrapText="1"/>
    </xf>
    <xf numFmtId="0" fontId="55" fillId="0" borderId="0" xfId="0" applyFont="1" applyAlignment="1">
      <alignment wrapText="1"/>
    </xf>
    <xf numFmtId="0" fontId="55" fillId="0" borderId="13" xfId="0" applyFont="1" applyBorder="1" applyAlignment="1">
      <alignment wrapText="1"/>
    </xf>
    <xf numFmtId="0" fontId="55" fillId="0" borderId="8" xfId="0" applyFont="1" applyBorder="1" applyAlignment="1">
      <alignment wrapText="1"/>
    </xf>
    <xf numFmtId="0" fontId="55" fillId="0" borderId="3" xfId="0" applyFont="1" applyBorder="1" applyAlignment="1">
      <alignment wrapText="1"/>
    </xf>
    <xf numFmtId="0" fontId="55" fillId="0" borderId="9" xfId="0" applyFont="1" applyBorder="1" applyAlignment="1">
      <alignment wrapText="1"/>
    </xf>
    <xf numFmtId="0" fontId="22" fillId="0" borderId="3" xfId="0" applyFont="1" applyBorder="1" applyAlignment="1" applyProtection="1">
      <alignment horizontal="left" vertical="center"/>
      <protection locked="0"/>
    </xf>
    <xf numFmtId="0" fontId="33" fillId="0" borderId="12" xfId="0" applyFont="1" applyBorder="1" applyAlignment="1" applyProtection="1">
      <alignment horizontal="center" vertical="distributed" wrapText="1"/>
      <protection locked="0"/>
    </xf>
    <xf numFmtId="0" fontId="33" fillId="0" borderId="0" xfId="0" applyFont="1" applyAlignment="1" applyProtection="1">
      <alignment horizontal="center" vertical="distributed" wrapText="1"/>
      <protection locked="0"/>
    </xf>
    <xf numFmtId="0" fontId="33" fillId="0" borderId="13" xfId="0" applyFont="1" applyBorder="1" applyAlignment="1" applyProtection="1">
      <alignment horizontal="center" vertical="distributed" wrapText="1"/>
      <protection locked="0"/>
    </xf>
    <xf numFmtId="0" fontId="48" fillId="0" borderId="3" xfId="0" applyFont="1" applyBorder="1" applyAlignment="1" applyProtection="1">
      <alignment horizontal="left" vertical="center"/>
      <protection locked="0"/>
    </xf>
    <xf numFmtId="0" fontId="48" fillId="0" borderId="4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38" fillId="0" borderId="0" xfId="0" applyFont="1" applyAlignment="1" applyProtection="1">
      <alignment horizontal="justify" vertical="top" wrapText="1"/>
      <protection locked="0"/>
    </xf>
    <xf numFmtId="0" fontId="38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  <xf numFmtId="0" fontId="1" fillId="14" borderId="0" xfId="8"/>
  </cellXfs>
  <cellStyles count="9">
    <cellStyle name="1" xfId="1"/>
    <cellStyle name="20% - Акцент2" xfId="4" builtinId="34"/>
    <cellStyle name="20% - Акцент3" xfId="6" builtinId="38"/>
    <cellStyle name="20% - Акцент5" xfId="8" builtinId="46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9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B16" sqref="B16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7" t="s">
        <v>213</v>
      </c>
      <c r="B6" s="228"/>
      <c r="C6" s="228"/>
      <c r="D6" s="228"/>
      <c r="E6" s="228"/>
      <c r="F6" s="228"/>
      <c r="G6" s="228"/>
      <c r="H6" s="229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8">
        <v>45681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>
        <v>0.83333333333333337</v>
      </c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>
        <v>0.83888888888888891</v>
      </c>
      <c r="C10" s="51"/>
      <c r="D10" s="83" t="s">
        <v>173</v>
      </c>
      <c r="E10" s="81"/>
      <c r="F10" s="81"/>
      <c r="G10" s="22" t="s">
        <v>147</v>
      </c>
      <c r="H10" s="24"/>
    </row>
    <row r="11" spans="1:8" ht="17.25" thickTop="1" thickBot="1">
      <c r="A11" s="77" t="s">
        <v>192</v>
      </c>
      <c r="B11" s="185" t="s">
        <v>539</v>
      </c>
      <c r="C11" s="8"/>
      <c r="D11" s="83" t="s">
        <v>170</v>
      </c>
      <c r="E11" s="81"/>
      <c r="F11" s="81"/>
      <c r="G11" s="22" t="s">
        <v>506</v>
      </c>
      <c r="H11" s="24"/>
    </row>
    <row r="12" spans="1:8" ht="16.5" thickTop="1">
      <c r="A12" s="72" t="s">
        <v>8</v>
      </c>
      <c r="B12" s="73">
        <v>22939</v>
      </c>
      <c r="C12" s="11"/>
      <c r="D12" s="83" t="s">
        <v>303</v>
      </c>
      <c r="E12" s="81"/>
      <c r="F12" s="81"/>
      <c r="G12" s="22" t="s">
        <v>178</v>
      </c>
      <c r="H12" s="24"/>
    </row>
    <row r="13" spans="1:8" ht="15.75">
      <c r="A13" s="14" t="s">
        <v>10</v>
      </c>
      <c r="B13" s="28">
        <f>DATEDIF(B12,B8,"y")</f>
        <v>62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2146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532</v>
      </c>
    </row>
    <row r="16" spans="1:8" ht="15.6" customHeight="1">
      <c r="A16" s="14" t="s">
        <v>106</v>
      </c>
      <c r="B16" s="18" t="s">
        <v>485</v>
      </c>
      <c r="C16"/>
      <c r="D16" s="32"/>
      <c r="E16" s="32"/>
      <c r="F16" s="32"/>
      <c r="G16" s="151" t="s">
        <v>401</v>
      </c>
      <c r="H16" s="154" t="s">
        <v>533</v>
      </c>
    </row>
    <row r="17" spans="1:9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3.3439999999999999</v>
      </c>
    </row>
    <row r="18" spans="1:9" ht="14.45" customHeight="1">
      <c r="A18" s="198" t="s">
        <v>188</v>
      </c>
      <c r="B18" s="199" t="s">
        <v>538</v>
      </c>
      <c r="C18" s="204"/>
      <c r="D18" s="205" t="s">
        <v>210</v>
      </c>
      <c r="E18" s="205"/>
      <c r="F18" s="205"/>
      <c r="G18" s="201" t="s">
        <v>189</v>
      </c>
      <c r="H18" s="202" t="s">
        <v>527</v>
      </c>
    </row>
    <row r="19" spans="1:9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9" ht="14.45" customHeight="1">
      <c r="A20" s="198" t="s">
        <v>212</v>
      </c>
      <c r="B20" s="225" t="s">
        <v>534</v>
      </c>
      <c r="C20" s="230"/>
      <c r="D20" s="230"/>
      <c r="E20" s="230"/>
      <c r="F20" s="230"/>
      <c r="G20" s="230"/>
      <c r="H20" s="231"/>
    </row>
    <row r="21" spans="1:9" ht="15.75">
      <c r="A21" s="210"/>
      <c r="B21" s="232"/>
      <c r="C21" s="232"/>
      <c r="D21" s="232"/>
      <c r="E21" s="232"/>
      <c r="F21" s="232"/>
      <c r="G21" s="232"/>
      <c r="H21" s="233"/>
    </row>
    <row r="22" spans="1:9" ht="15.6" customHeight="1">
      <c r="A22" s="203" t="s">
        <v>271</v>
      </c>
      <c r="B22" s="234" t="s">
        <v>535</v>
      </c>
      <c r="C22" s="234"/>
      <c r="D22" s="234"/>
      <c r="E22" s="234"/>
      <c r="F22" s="234"/>
      <c r="G22" s="234"/>
      <c r="H22" s="235"/>
    </row>
    <row r="23" spans="1:9" ht="14.45" customHeight="1">
      <c r="A23" s="211"/>
      <c r="B23" s="225"/>
      <c r="C23" s="225"/>
      <c r="D23" s="225"/>
      <c r="E23" s="225"/>
      <c r="F23" s="225"/>
      <c r="G23" s="225"/>
      <c r="H23" s="226"/>
    </row>
    <row r="24" spans="1:9" ht="14.45" customHeight="1">
      <c r="A24" s="212"/>
      <c r="B24" s="225"/>
      <c r="C24" s="225"/>
      <c r="D24" s="225"/>
      <c r="E24" s="225"/>
      <c r="F24" s="225"/>
      <c r="G24" s="225"/>
      <c r="H24" s="226"/>
    </row>
    <row r="25" spans="1:9" ht="14.45" customHeight="1">
      <c r="A25" s="211"/>
      <c r="B25" s="225"/>
      <c r="C25" s="225"/>
      <c r="D25" s="225"/>
      <c r="E25" s="225"/>
      <c r="F25" s="225"/>
      <c r="G25" s="225"/>
      <c r="H25" s="226"/>
    </row>
    <row r="26" spans="1:9" ht="14.45" customHeight="1">
      <c r="A26" s="206"/>
      <c r="B26" s="236"/>
      <c r="C26" s="236"/>
      <c r="D26" s="236"/>
      <c r="E26" s="236"/>
      <c r="F26" s="236"/>
      <c r="G26" s="236"/>
      <c r="H26" s="237"/>
    </row>
    <row r="27" spans="1:9" ht="14.45" customHeight="1">
      <c r="A27" s="203" t="s">
        <v>272</v>
      </c>
      <c r="B27" s="234" t="s">
        <v>536</v>
      </c>
      <c r="C27" s="234"/>
      <c r="D27" s="234"/>
      <c r="E27" s="234"/>
      <c r="F27" s="234"/>
      <c r="G27" s="234"/>
      <c r="H27" s="235"/>
    </row>
    <row r="28" spans="1:9" ht="15.6" customHeight="1">
      <c r="A28" s="211"/>
      <c r="B28" s="225"/>
      <c r="C28" s="225"/>
      <c r="D28" s="225"/>
      <c r="E28" s="225"/>
      <c r="F28" s="225"/>
      <c r="G28" s="225"/>
      <c r="H28" s="226"/>
    </row>
    <row r="29" spans="1:9" ht="14.45" customHeight="1">
      <c r="A29" s="211"/>
      <c r="B29" s="225"/>
      <c r="C29" s="225"/>
      <c r="D29" s="225"/>
      <c r="E29" s="225"/>
      <c r="F29" s="225"/>
      <c r="G29" s="225"/>
      <c r="H29" s="226"/>
    </row>
    <row r="30" spans="1:9" ht="14.45" customHeight="1">
      <c r="A30" s="212"/>
      <c r="B30" s="225"/>
      <c r="C30" s="225"/>
      <c r="D30" s="225"/>
      <c r="E30" s="225"/>
      <c r="F30" s="225"/>
      <c r="G30" s="225"/>
      <c r="H30" s="226"/>
    </row>
    <row r="31" spans="1:9" ht="14.45" customHeight="1">
      <c r="A31" s="210"/>
      <c r="B31" s="236"/>
      <c r="C31" s="236"/>
      <c r="D31" s="236"/>
      <c r="E31" s="236"/>
      <c r="F31" s="236"/>
      <c r="G31" s="236"/>
      <c r="H31" s="237"/>
    </row>
    <row r="32" spans="1:9" ht="14.45" customHeight="1">
      <c r="A32" s="203" t="s">
        <v>273</v>
      </c>
      <c r="B32" s="238" t="s">
        <v>537</v>
      </c>
      <c r="C32" s="234"/>
      <c r="D32" s="234"/>
      <c r="E32" s="234"/>
      <c r="F32" s="234"/>
      <c r="G32" s="234"/>
      <c r="H32" s="235"/>
      <c r="I32" s="261"/>
    </row>
    <row r="33" spans="1:8" ht="14.45" customHeight="1">
      <c r="A33" s="211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211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11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211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4"/>
      <c r="B37"/>
      <c r="C37"/>
      <c r="D37" s="224" t="str">
        <f>IF($A$6=Вмешательства!$D$3,Вмешательства!$F$18,"")</f>
        <v/>
      </c>
      <c r="E37" s="224"/>
      <c r="F37" s="106"/>
      <c r="G37" s="106"/>
      <c r="H37" s="109"/>
    </row>
    <row r="38" spans="1:8" ht="14.45" customHeight="1">
      <c r="A38" s="34"/>
      <c r="B38"/>
      <c r="C38" s="110"/>
      <c r="D38" s="225"/>
      <c r="E38" s="225"/>
      <c r="F38" s="225"/>
      <c r="G38" s="225"/>
      <c r="H38" s="226"/>
    </row>
    <row r="39" spans="1:8" ht="14.45" customHeight="1">
      <c r="A39" s="31"/>
      <c r="B39" s="106"/>
      <c r="C39" s="110"/>
      <c r="D39" s="225"/>
      <c r="E39" s="225"/>
      <c r="F39" s="225"/>
      <c r="G39" s="225"/>
      <c r="H39" s="226"/>
    </row>
    <row r="40" spans="1:8" ht="14.45" customHeight="1">
      <c r="A40" s="31"/>
      <c r="B40" s="106"/>
      <c r="C40" s="110"/>
      <c r="D40" s="225"/>
      <c r="E40" s="225"/>
      <c r="F40" s="225"/>
      <c r="G40" s="225"/>
      <c r="H40" s="226"/>
    </row>
    <row r="41" spans="1:8" ht="14.45" customHeight="1">
      <c r="A41" s="31"/>
      <c r="B41" s="106"/>
      <c r="C41" s="110"/>
      <c r="D41" s="225"/>
      <c r="E41" s="225"/>
      <c r="F41" s="225"/>
      <c r="G41" s="225"/>
      <c r="H41" s="226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1" t="s">
        <v>531</v>
      </c>
      <c r="E43" s="222"/>
      <c r="F43" s="222"/>
      <c r="G43" s="222"/>
      <c r="H43" s="223"/>
    </row>
    <row r="44" spans="1:8" ht="14.45" customHeight="1">
      <c r="A44" s="31"/>
      <c r="B44" s="106"/>
      <c r="C44" s="112"/>
      <c r="D44" s="222"/>
      <c r="E44" s="222"/>
      <c r="F44" s="222"/>
      <c r="G44" s="222"/>
      <c r="H44" s="223"/>
    </row>
    <row r="45" spans="1:8" ht="14.45" customHeight="1">
      <c r="A45" s="31"/>
      <c r="B45" s="106"/>
      <c r="C45" s="112"/>
      <c r="D45" s="222"/>
      <c r="E45" s="222"/>
      <c r="F45" s="222"/>
      <c r="G45" s="222"/>
      <c r="H45" s="223"/>
    </row>
    <row r="46" spans="1:8">
      <c r="A46" s="31"/>
      <c r="B46" s="106"/>
      <c r="C46" s="112"/>
      <c r="D46" s="222"/>
      <c r="E46" s="222"/>
      <c r="F46" s="222"/>
      <c r="G46" s="222"/>
      <c r="H46" s="223"/>
    </row>
    <row r="47" spans="1:8">
      <c r="A47" s="34"/>
      <c r="B47"/>
      <c r="C47" s="112"/>
      <c r="D47" s="222"/>
      <c r="E47" s="222"/>
      <c r="F47" s="222"/>
      <c r="G47" s="222"/>
      <c r="H47" s="223"/>
    </row>
    <row r="48" spans="1:8">
      <c r="A48" s="34"/>
      <c r="B48"/>
      <c r="C48" s="112"/>
      <c r="D48" s="222"/>
      <c r="E48" s="222"/>
      <c r="F48" s="222"/>
      <c r="G48" s="222"/>
      <c r="H48" s="223"/>
    </row>
    <row r="49" spans="1:13">
      <c r="A49" s="34"/>
      <c r="B49" s="187"/>
      <c r="C49" s="188"/>
      <c r="D49" s="222"/>
      <c r="E49" s="222"/>
      <c r="F49" s="222"/>
      <c r="G49" s="222"/>
      <c r="H49" s="223"/>
    </row>
    <row r="50" spans="1:13">
      <c r="A50" s="34"/>
      <c r="B50"/>
      <c r="C50"/>
      <c r="D50" s="222"/>
      <c r="E50" s="222"/>
      <c r="F50" s="222"/>
      <c r="G50" s="222"/>
      <c r="H50" s="223"/>
      <c r="M50" t="s">
        <v>211</v>
      </c>
    </row>
    <row r="51" spans="1:13">
      <c r="A51" s="54" t="s">
        <v>199</v>
      </c>
      <c r="B51" s="55" t="s">
        <v>526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528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zoomScaleNormal="100" zoomScaleSheetLayoutView="100" zoomScalePageLayoutView="90" workbookViewId="0">
      <selection activeCell="I25" sqref="I25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49" t="s">
        <v>208</v>
      </c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8" t="s">
        <v>216</v>
      </c>
      <c r="D8" s="248"/>
      <c r="E8" s="248"/>
      <c r="F8" s="172">
        <v>1</v>
      </c>
      <c r="G8" s="105" t="s">
        <v>309</v>
      </c>
      <c r="H8" s="144"/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B9"/>
      <c r="C9" s="252"/>
      <c r="D9" s="252"/>
      <c r="E9" s="252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71"/>
      <c r="C10" s="253"/>
      <c r="D10" s="253"/>
      <c r="E10" s="253"/>
      <c r="F10" s="175"/>
      <c r="G10" s="105"/>
      <c r="H10" s="35"/>
    </row>
    <row r="11" spans="1:8">
      <c r="A11" s="174"/>
      <c r="B11" s="178"/>
      <c r="C11" s="181">
        <f>SUM(F8:F10)</f>
        <v>1</v>
      </c>
      <c r="D11"/>
      <c r="E11"/>
      <c r="F11"/>
      <c r="G11"/>
      <c r="H11" s="35"/>
    </row>
    <row r="12" spans="1:8" ht="18.75">
      <c r="A12" s="67" t="s">
        <v>191</v>
      </c>
      <c r="B12" s="218">
        <f>КАГ!B8</f>
        <v>45681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0.83888888888888891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0.86458333333333337</v>
      </c>
      <c r="C14" s="11"/>
      <c r="D14" s="83" t="s">
        <v>173</v>
      </c>
      <c r="E14" s="81"/>
      <c r="F14" s="81"/>
      <c r="G14" s="71" t="str">
        <f>КАГ!G10</f>
        <v>Гайчук В.В.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2.5694444444444464E-2</v>
      </c>
      <c r="C15"/>
      <c r="D15" s="83" t="s">
        <v>170</v>
      </c>
      <c r="E15" s="81"/>
      <c r="F15" s="81"/>
      <c r="G15" s="71" t="str">
        <f>КАГ!G11</f>
        <v>Соболева Ю.А.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Зайцев К.Г.</v>
      </c>
      <c r="C16" s="182">
        <f>LEN(КАГ!B11)</f>
        <v>11</v>
      </c>
      <c r="D16" s="83" t="s">
        <v>303</v>
      </c>
      <c r="E16" s="81"/>
      <c r="F16" s="81"/>
      <c r="G16" s="71" t="str">
        <f>КАГ!G12</f>
        <v>Галамага Н.Е.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22939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62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2146</v>
      </c>
      <c r="C19" s="61"/>
      <c r="D19" s="61"/>
      <c r="E19" s="61"/>
      <c r="F19" s="61"/>
      <c r="G19" s="150" t="s">
        <v>399</v>
      </c>
      <c r="H19" s="164" t="str">
        <f>КАГ!H15</f>
        <v>07:18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401</v>
      </c>
      <c r="H20" s="165" t="str">
        <f>КАГ!H16</f>
        <v>1760</v>
      </c>
    </row>
    <row r="21" spans="1:8" ht="14.45" customHeight="1">
      <c r="A21" s="14" t="s">
        <v>106</v>
      </c>
      <c r="B21" s="59" t="str">
        <f>КАГ!B16</f>
        <v>ОКС с ↑ ST</v>
      </c>
      <c r="C21" s="62"/>
      <c r="D21"/>
      <c r="E21" s="63"/>
      <c r="F21" s="63"/>
      <c r="G21" s="152" t="s">
        <v>388</v>
      </c>
      <c r="H21" s="153">
        <f>КАГ!H17</f>
        <v>3.3439999999999999</v>
      </c>
    </row>
    <row r="22" spans="1:8" ht="14.45" customHeight="1">
      <c r="A22" s="198" t="str">
        <f>КАГ!G18</f>
        <v>Доступ:</v>
      </c>
      <c r="B22" s="213" t="str">
        <f>КАГ!H18</f>
        <v>лучевой</v>
      </c>
      <c r="C22" s="62"/>
      <c r="D22" s="62"/>
      <c r="E22" s="62"/>
      <c r="F22" s="62"/>
      <c r="G22" s="214" t="str">
        <f>IF(B21=Вмешательства!F3,Вмешательства!F19,"")</f>
        <v>Реканализация:</v>
      </c>
      <c r="H22" s="220">
        <v>0.85277777777777775</v>
      </c>
    </row>
    <row r="23" spans="1:8" ht="14.45" customHeight="1">
      <c r="A23" s="215" t="s">
        <v>391</v>
      </c>
      <c r="B23" s="216" t="s">
        <v>390</v>
      </c>
      <c r="C23" s="148"/>
      <c r="D23" s="148"/>
      <c r="E23" s="148"/>
      <c r="F23" s="148"/>
      <c r="G23" s="200"/>
      <c r="H23" s="217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7" t="s">
        <v>540</v>
      </c>
      <c r="B25" s="258"/>
      <c r="C25" s="258"/>
      <c r="D25" s="258"/>
      <c r="E25" s="258"/>
      <c r="F25" s="258"/>
      <c r="G25" s="258"/>
      <c r="H25" s="259"/>
    </row>
    <row r="26" spans="1:8" ht="14.45" customHeight="1">
      <c r="A26" s="260"/>
      <c r="B26" s="258"/>
      <c r="C26" s="258"/>
      <c r="D26" s="258"/>
      <c r="E26" s="258"/>
      <c r="F26" s="258"/>
      <c r="G26" s="258"/>
      <c r="H26" s="259"/>
    </row>
    <row r="27" spans="1:8" ht="14.45" customHeight="1">
      <c r="A27" s="260"/>
      <c r="B27" s="258"/>
      <c r="C27" s="258"/>
      <c r="D27" s="258"/>
      <c r="E27" s="258"/>
      <c r="F27" s="258"/>
      <c r="G27" s="258"/>
      <c r="H27" s="259"/>
    </row>
    <row r="28" spans="1:8" ht="14.45" customHeight="1">
      <c r="A28" s="260"/>
      <c r="B28" s="258"/>
      <c r="C28" s="258"/>
      <c r="D28" s="258"/>
      <c r="E28" s="258"/>
      <c r="F28" s="258"/>
      <c r="G28" s="258"/>
      <c r="H28" s="259"/>
    </row>
    <row r="29" spans="1:8" ht="14.45" customHeight="1">
      <c r="A29" s="260"/>
      <c r="B29" s="258"/>
      <c r="C29" s="258"/>
      <c r="D29" s="258"/>
      <c r="E29" s="258"/>
      <c r="F29" s="258"/>
      <c r="G29" s="258"/>
      <c r="H29" s="259"/>
    </row>
    <row r="30" spans="1:8" ht="14.45" customHeight="1">
      <c r="A30" s="260"/>
      <c r="B30" s="258"/>
      <c r="C30" s="258"/>
      <c r="D30" s="258"/>
      <c r="E30" s="258"/>
      <c r="F30" s="258"/>
      <c r="G30" s="258"/>
      <c r="H30" s="259"/>
    </row>
    <row r="31" spans="1:8" ht="14.45" customHeight="1">
      <c r="A31" s="260"/>
      <c r="B31" s="258"/>
      <c r="C31" s="258"/>
      <c r="D31" s="258"/>
      <c r="E31" s="258"/>
      <c r="F31" s="258"/>
      <c r="G31" s="258"/>
      <c r="H31" s="259"/>
    </row>
    <row r="32" spans="1:8" ht="14.45" customHeight="1">
      <c r="A32" s="260"/>
      <c r="B32" s="258"/>
      <c r="C32" s="258"/>
      <c r="D32" s="258"/>
      <c r="E32" s="258"/>
      <c r="F32" s="258"/>
      <c r="G32" s="258"/>
      <c r="H32" s="259"/>
    </row>
    <row r="33" spans="1:12" ht="14.45" customHeight="1">
      <c r="A33" s="260"/>
      <c r="B33" s="258"/>
      <c r="C33" s="258"/>
      <c r="D33" s="258"/>
      <c r="E33" s="258"/>
      <c r="F33" s="258"/>
      <c r="G33" s="258"/>
      <c r="H33" s="259"/>
    </row>
    <row r="34" spans="1:12" ht="14.45" customHeight="1">
      <c r="A34" s="260"/>
      <c r="B34" s="258"/>
      <c r="C34" s="258"/>
      <c r="D34" s="258"/>
      <c r="E34" s="258"/>
      <c r="F34" s="258"/>
      <c r="G34" s="258"/>
      <c r="H34" s="259"/>
    </row>
    <row r="35" spans="1:12" ht="14.45" customHeight="1">
      <c r="A35" s="260"/>
      <c r="B35" s="258"/>
      <c r="C35" s="258"/>
      <c r="D35" s="258"/>
      <c r="E35" s="258"/>
      <c r="F35" s="258"/>
      <c r="G35" s="258"/>
      <c r="H35" s="259"/>
    </row>
    <row r="36" spans="1:12" ht="14.45" customHeight="1">
      <c r="A36" s="260"/>
      <c r="B36" s="258"/>
      <c r="C36" s="258"/>
      <c r="D36" s="258"/>
      <c r="E36" s="258"/>
      <c r="F36" s="258"/>
      <c r="G36" s="258"/>
      <c r="H36" s="259"/>
    </row>
    <row r="37" spans="1:12" ht="14.45" customHeight="1">
      <c r="A37" s="260"/>
      <c r="B37" s="258"/>
      <c r="C37" s="258"/>
      <c r="D37" s="258"/>
      <c r="E37" s="258"/>
      <c r="F37" s="258"/>
      <c r="G37" s="258"/>
      <c r="H37" s="259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СТЕНТ/Ы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19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526</v>
      </c>
      <c r="C40" s="107"/>
      <c r="D40" s="254" t="s">
        <v>529</v>
      </c>
      <c r="E40" s="255"/>
      <c r="F40" s="255"/>
      <c r="G40" s="255"/>
      <c r="H40" s="256"/>
    </row>
    <row r="41" spans="1:12" ht="14.45" customHeight="1">
      <c r="A41" s="30"/>
      <c r="B41" s="26"/>
      <c r="C41" s="107"/>
      <c r="D41" s="255"/>
      <c r="E41" s="255"/>
      <c r="F41" s="255"/>
      <c r="G41" s="255"/>
      <c r="H41" s="256"/>
    </row>
    <row r="42" spans="1:12" ht="14.45" customHeight="1">
      <c r="A42" s="30"/>
      <c r="B42" s="26"/>
      <c r="C42" s="107"/>
      <c r="D42" s="255"/>
      <c r="E42" s="255"/>
      <c r="F42" s="255"/>
      <c r="G42" s="255"/>
      <c r="H42" s="256"/>
    </row>
    <row r="43" spans="1:12" ht="14.45" customHeight="1">
      <c r="A43" s="30"/>
      <c r="B43" s="26"/>
      <c r="C43" s="107"/>
      <c r="D43" s="255"/>
      <c r="E43" s="255"/>
      <c r="F43" s="255"/>
      <c r="G43" s="255"/>
      <c r="H43" s="256"/>
    </row>
    <row r="44" spans="1:12" ht="14.45" customHeight="1">
      <c r="A44" s="30"/>
      <c r="B44" s="26"/>
      <c r="C44" s="107"/>
      <c r="D44" s="255"/>
      <c r="E44" s="255"/>
      <c r="F44" s="255"/>
      <c r="G44" s="255"/>
      <c r="H44" s="256"/>
      <c r="L44" s="146"/>
    </row>
    <row r="45" spans="1:12" ht="14.45" customHeight="1">
      <c r="A45" s="30"/>
      <c r="B45" s="26"/>
      <c r="C45" s="107"/>
      <c r="D45" s="255"/>
      <c r="E45" s="255"/>
      <c r="F45" s="255"/>
      <c r="G45" s="255"/>
      <c r="H45" s="256"/>
    </row>
    <row r="46" spans="1:12" ht="14.45" customHeight="1">
      <c r="A46" s="30"/>
      <c r="B46" s="26"/>
      <c r="C46" s="107"/>
      <c r="D46" s="255"/>
      <c r="E46" s="255"/>
      <c r="F46" s="255"/>
      <c r="G46" s="255"/>
      <c r="H46" s="256"/>
    </row>
    <row r="47" spans="1:12" ht="14.45" customHeight="1">
      <c r="A47" s="34"/>
      <c r="B47"/>
      <c r="C47" s="107"/>
      <c r="D47" s="255"/>
      <c r="E47" s="255"/>
      <c r="F47" s="255"/>
      <c r="G47" s="255"/>
      <c r="H47" s="256"/>
    </row>
    <row r="48" spans="1:12" ht="14.45" customHeight="1">
      <c r="A48" s="34"/>
      <c r="B48"/>
      <c r="C48" s="107"/>
      <c r="D48" s="255"/>
      <c r="E48" s="255"/>
      <c r="F48" s="255"/>
      <c r="G48" s="255"/>
      <c r="H48" s="256"/>
    </row>
    <row r="49" spans="1:8" ht="14.45" customHeight="1">
      <c r="A49" s="34"/>
      <c r="B49"/>
      <c r="C49" s="107"/>
      <c r="D49" s="255"/>
      <c r="E49" s="255"/>
      <c r="F49" s="255"/>
      <c r="G49" s="255"/>
      <c r="H49" s="256"/>
    </row>
    <row r="50" spans="1:8">
      <c r="A50" s="54" t="s">
        <v>199</v>
      </c>
      <c r="B50" s="55" t="s">
        <v>526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39" t="s">
        <v>371</v>
      </c>
      <c r="B52" s="240"/>
      <c r="C52" s="240"/>
      <c r="D52" s="240"/>
      <c r="E52" s="240"/>
      <c r="F52" s="241"/>
      <c r="G52"/>
      <c r="H52" s="35"/>
    </row>
    <row r="53" spans="1:8" ht="15" customHeight="1">
      <c r="A53" s="242"/>
      <c r="B53" s="243"/>
      <c r="C53" s="243"/>
      <c r="D53" s="243"/>
      <c r="E53" s="243"/>
      <c r="F53" s="244"/>
      <c r="G53" s="66" t="str">
        <f>IF(ISBLANK(H13),"",H13)</f>
        <v/>
      </c>
      <c r="H53" s="56"/>
    </row>
    <row r="54" spans="1:8">
      <c r="A54" s="245"/>
      <c r="B54" s="246"/>
      <c r="C54" s="246"/>
      <c r="D54" s="246"/>
      <c r="E54" s="246"/>
      <c r="F54" s="247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Сбалансированный 
Ствол ЛКА:   проходим, контуры ровные
Бассейн ПНА:   стеноз устья ПНА 30%, выраженный миокардиальный мостик среднего сегмента с компрессией в систоу 90%. Антеградный кровоток TIMI III. ИМА: стеноз устья 30%.  Антеградный кровоток TIMI III. 
Бассейн  ОА:   проходим, контуры ровные. Антеградный кровоток TIMI III.  
Бассейн ПКА:   пролонгированный стеноз 30% среднего сегмента, нестабильный субокклюзирующий  стеноз дистального сегмента, TTG1, Rentrop 0.   Антеградный кровоток - TIMI I. 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1" sqref="B21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45681</v>
      </c>
      <c r="C2" s="138" t="str">
        <f>IF(ЧКВ!B21=Вмешательства!F14,Вмешательства!F20,Вмешательства!F22)</f>
        <v>ОМС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Зайцев К.Г.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19" t="str">
        <f>IF(ISBLANK(КАГ!A6),"",КАГ!A6)</f>
        <v>КОРОНАРОГРАФИЯ</v>
      </c>
      <c r="C5" s="117" t="s">
        <v>8</v>
      </c>
      <c r="D5" s="89">
        <f>КАГ!$B$12</f>
        <v>22939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20" t="str">
        <f>ЧКВ!A6</f>
        <v xml:space="preserve">Транслюминальная баллонная ангиопластика и стентирование коронарных артерий. </v>
      </c>
      <c r="C6" s="117" t="s">
        <v>10</v>
      </c>
      <c r="D6" s="90">
        <f>DATEDIF(D5,D10,"y")</f>
        <v>62</v>
      </c>
    </row>
    <row r="7" spans="1:4">
      <c r="A7" s="34"/>
      <c r="B7"/>
      <c r="C7" s="88" t="s">
        <v>12</v>
      </c>
      <c r="D7" s="90">
        <f>КАГ!$B$14</f>
        <v>2146</v>
      </c>
    </row>
    <row r="8" spans="1:4">
      <c r="A8" s="176" t="str">
        <f>ЧКВ!$A$9</f>
        <v>Код модели: 21166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>Код метода: 47</v>
      </c>
      <c r="B9"/>
      <c r="C9" s="92" t="s">
        <v>106</v>
      </c>
      <c r="D9" s="90" t="str">
        <f>КАГ!$B$16</f>
        <v>ОКС с ↑ ST</v>
      </c>
    </row>
    <row r="10" spans="1:4">
      <c r="A10" s="177"/>
      <c r="B10" s="29"/>
      <c r="C10" s="136" t="s">
        <v>13</v>
      </c>
      <c r="D10" s="137">
        <f>КАГ!$B$8</f>
        <v>45681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1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330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40" t="s">
        <v>375</v>
      </c>
      <c r="C15" s="121" t="s">
        <v>415</v>
      </c>
      <c r="D15" s="126">
        <v>1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40" t="s">
        <v>324</v>
      </c>
      <c r="C16" s="121" t="s">
        <v>472</v>
      </c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40" t="s">
        <v>525</v>
      </c>
      <c r="C17" s="166"/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41"/>
      <c r="C18" s="121"/>
      <c r="D18" s="126"/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40"/>
      <c r="C19" s="121" t="s">
        <v>211</v>
      </c>
      <c r="D19" s="126" t="s">
        <v>211</v>
      </c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0"/>
      <c r="C20" s="121" t="s">
        <v>211</v>
      </c>
      <c r="D20" s="128" t="s">
        <v>211</v>
      </c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516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6" zoomScaleNormal="100" workbookViewId="0">
      <selection activeCell="C64" sqref="C6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1</v>
      </c>
      <c r="M2" s="103">
        <f>IF(ISNUMBER(SEARCH('Карта учёта'!$B$19,Расходка[[#This Row],[Наименование расходного материала]])),MAX($M$1:M1)+1,0)</f>
        <v>1</v>
      </c>
      <c r="N2" s="2">
        <f>IF(ISNUMBER(SEARCH('Карта учёта'!$B$20,Расходка[[#This Row],[Наименование расходного материала]])),MAX($N$1:N1)+1,0)</f>
        <v>1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02" t="str">
        <f>IFERROR(INDEX(Расходка[Наименование расходного материала],MATCH(Расходка[[#This Row],[№]],Поиск_расходки[Индекс3],0)),"")</f>
        <v>Колибри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02" t="str">
        <f>IFERROR(INDEX(Расходка[Наименование расходного материала],MATCH(Расходка[[#This Row],[№]],Поиск_расходки[Индекс7],0)),"")</f>
        <v>Shunmei 0,7</v>
      </c>
      <c r="Y2" s="102" t="str">
        <f>IFERROR(INDEX(Расходка[Наименование расходного материала],MATCH(Расходка[[#This Row],[№]],Поиск_расходки[Индекс8],0)),"")</f>
        <v>Hunter® 6F</v>
      </c>
      <c r="Z2" s="102" t="str">
        <f>IFERROR(INDEX(Расходка[Наименование расходного материала],MATCH(Расходка[[#This Row],[№]],Поиск_расходки[Индекс9],0)),"")</f>
        <v>Hunter® 6F</v>
      </c>
      <c r="AA2" s="102" t="str">
        <f>IFERROR(INDEX(Расходка[Наименование расходного материала],MATCH(Расходка[[#This Row],[№]],Поиск_расходки[Индекс10],0)),"")</f>
        <v>Hunter® 6F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0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2</v>
      </c>
      <c r="M3" s="103">
        <f>IF(ISNUMBER(SEARCH('Карта учёта'!$B$19,Расходка[[#This Row],[Наименование расходного материала]])),MAX($M$1:M2)+1,0)</f>
        <v>2</v>
      </c>
      <c r="N3" s="103">
        <f>IF(ISNUMBER(SEARCH('Карта учёта'!$B$20,Расходка[[#This Row],[Наименование расходного материала]])),MAX($N$1:N2)+1,0)</f>
        <v>2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/>
      </c>
      <c r="X3" s="102" t="str">
        <f>IFERROR(INDEX(Расходка[Наименование расходного материала],MATCH(Расходка[[#This Row],[№]],Поиск_расходки[Индекс7],0)),"")</f>
        <v/>
      </c>
      <c r="Y3" s="102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02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489</v>
      </c>
      <c r="AO3" t="s">
        <v>497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3</v>
      </c>
      <c r="M4" s="103">
        <f>IF(ISNUMBER(SEARCH('Карта учёта'!$B$19,Расходка[[#This Row],[Наименование расходного материала]])),MAX($M$1:M3)+1,0)</f>
        <v>3</v>
      </c>
      <c r="N4" s="103">
        <f>IF(ISNUMBER(SEARCH('Карта учёта'!$B$20,Расходка[[#This Row],[Наименование расходного материала]])),MAX($N$1:N3)+1,0)</f>
        <v>3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/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/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>Euphora</v>
      </c>
      <c r="Z4" s="102" t="str">
        <f>IFERROR(INDEX(Расходка[Наименование расходного материала],MATCH(Расходка[[#This Row],[№]],Поиск_расходки[Индекс9],0)),"")</f>
        <v>Euphora</v>
      </c>
      <c r="AA4" s="102" t="str">
        <f>IFERROR(INDEX(Расходка[Наименование расходного материала],MATCH(Расходка[[#This Row],[№]],Поиск_расходки[Индекс10],0)),"")</f>
        <v>Euphora</v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502</v>
      </c>
      <c r="AO4" t="s">
        <v>499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4</v>
      </c>
      <c r="M5" s="103">
        <f>IF(ISNUMBER(SEARCH('Карта учёта'!$B$19,Расходка[[#This Row],[Наименование расходного материала]])),MAX($M$1:M4)+1,0)</f>
        <v>4</v>
      </c>
      <c r="N5" s="103">
        <f>IF(ISNUMBER(SEARCH('Карта учёта'!$B$20,Расходка[[#This Row],[Наименование расходного материала]])),MAX($N$1:N4)+1,0)</f>
        <v>4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>NC Accuforce</v>
      </c>
      <c r="Z5" s="102" t="str">
        <f>IFERROR(INDEX(Расходка[Наименование расходного материала],MATCH(Расходка[[#This Row],[№]],Поиск_расходки[Индекс9],0)),"")</f>
        <v>NC Accuforce</v>
      </c>
      <c r="AA5" s="102" t="str">
        <f>IFERROR(INDEX(Расходка[Наименование расходного материала],MATCH(Расходка[[#This Row],[№]],Поиск_расходки[Индекс10],0)),"")</f>
        <v>NC Accuforce</v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5</v>
      </c>
      <c r="M6" s="103">
        <f>IF(ISNUMBER(SEARCH('Карта учёта'!$B$19,Расходка[[#This Row],[Наименование расходного материала]])),MAX($M$1:M5)+1,0)</f>
        <v>5</v>
      </c>
      <c r="N6" s="103">
        <f>IF(ISNUMBER(SEARCH('Карта учёта'!$B$20,Расходка[[#This Row],[Наименование расходного материала]])),MAX($N$1:N5)+1,0)</f>
        <v>5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>NC Euphora</v>
      </c>
      <c r="Z6" s="102" t="str">
        <f>IFERROR(INDEX(Расходка[Наименование расходного материала],MATCH(Расходка[[#This Row],[№]],Поиск_расходки[Индекс9],0)),"")</f>
        <v>NC Euphora</v>
      </c>
      <c r="AA6" s="102" t="str">
        <f>IFERROR(INDEX(Расходка[Наименование расходного материала],MATCH(Расходка[[#This Row],[№]],Поиск_расходки[Индекс10],0)),"")</f>
        <v>NC Euphora</v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6</v>
      </c>
      <c r="M7" s="103">
        <f>IF(ISNUMBER(SEARCH('Карта учёта'!$B$19,Расходка[[#This Row],[Наименование расходного материала]])),MAX($M$1:M6)+1,0)</f>
        <v>6</v>
      </c>
      <c r="N7" s="103">
        <f>IF(ISNUMBER(SEARCH('Карта учёта'!$B$20,Расходка[[#This Row],[Наименование расходного материала]])),MAX($N$1:N6)+1,0)</f>
        <v>6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>Sapphire</v>
      </c>
      <c r="Z7" s="102" t="str">
        <f>IFERROR(INDEX(Расходка[Наименование расходного материала],MATCH(Расходка[[#This Row],[№]],Поиск_расходки[Индекс9],0)),"")</f>
        <v>Sapphire</v>
      </c>
      <c r="AA7" s="102" t="str">
        <f>IFERROR(INDEX(Расходка[Наименование расходного материала],MATCH(Расходка[[#This Row],[№]],Поиск_расходки[Индекс10],0)),"")</f>
        <v>Sapphire</v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7</v>
      </c>
      <c r="M8" s="103">
        <f>IF(ISNUMBER(SEARCH('Карта учёта'!$B$19,Расходка[[#This Row],[Наименование расходного материала]])),MAX($M$1:M7)+1,0)</f>
        <v>7</v>
      </c>
      <c r="N8" s="103">
        <f>IF(ISNUMBER(SEARCH('Карта учёта'!$B$20,Расходка[[#This Row],[Наименование расходного материала]])),MAX($N$1:N7)+1,0)</f>
        <v>7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>Sprinter Legend</v>
      </c>
      <c r="Z8" s="102" t="str">
        <f>IFERROR(INDEX(Расходка[Наименование расходного материала],MATCH(Расходка[[#This Row],[№]],Поиск_расходки[Индекс9],0)),"")</f>
        <v>Sprinter Legend</v>
      </c>
      <c r="AA8" s="102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8</v>
      </c>
      <c r="M9" s="103">
        <f>IF(ISNUMBER(SEARCH('Карта учёта'!$B$19,Расходка[[#This Row],[Наименование расходного материала]])),MAX($M$1:M8)+1,0)</f>
        <v>8</v>
      </c>
      <c r="N9" s="103">
        <f>IF(ISNUMBER(SEARCH('Карта учёта'!$B$20,Расходка[[#This Row],[Наименование расходного материала]])),MAX($N$1:N8)+1,0)</f>
        <v>8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02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02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1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0</v>
      </c>
      <c r="K10" s="103">
        <f>IF(ISNUMBER(SEARCH('Карта учёта'!$B$17,Расходка[[#This Row],[Наименование расходного материала]])),MAX($K$1:K9)+1,0)</f>
        <v>0</v>
      </c>
      <c r="L10" s="103">
        <f>IF(ISNUMBER(SEARCH('Карта учёта'!$B$18,Расходка[[#This Row],[Наименование расходного материала]])),MAX($L$1:L9)+1,0)</f>
        <v>9</v>
      </c>
      <c r="M10" s="103">
        <f>IF(ISNUMBER(SEARCH('Карта учёта'!$B$19,Расходка[[#This Row],[Наименование расходного материала]])),MAX($M$1:M9)+1,0)</f>
        <v>9</v>
      </c>
      <c r="N10" s="103">
        <f>IF(ISNUMBER(SEARCH('Карта учёта'!$B$20,Расходка[[#This Row],[Наименование расходного материала]])),MAX($N$1:N9)+1,0)</f>
        <v>9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>Колибри</v>
      </c>
      <c r="Z10" s="102" t="str">
        <f>IFERROR(INDEX(Расходка[Наименование расходного материала],MATCH(Расходка[[#This Row],[№]],Поиск_расходки[Индекс9],0)),"")</f>
        <v>Колибри</v>
      </c>
      <c r="AA10" s="102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2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0</v>
      </c>
      <c r="K11" s="103">
        <f>IF(ISNUMBER(SEARCH('Карта учёта'!$B$17,Расходка[[#This Row],[Наименование расходного материала]])),MAX($K$1:K10)+1,0)</f>
        <v>0</v>
      </c>
      <c r="L11" s="103">
        <f>IF(ISNUMBER(SEARCH('Карта учёта'!$B$18,Расходка[[#This Row],[Наименование расходного материала]])),MAX($L$1:L10)+1,0)</f>
        <v>10</v>
      </c>
      <c r="M11" s="103">
        <f>IF(ISNUMBER(SEARCH('Карта учёта'!$B$19,Расходка[[#This Row],[Наименование расходного материала]])),MAX($M$1:M10)+1,0)</f>
        <v>10</v>
      </c>
      <c r="N11" s="103">
        <f>IF(ISNUMBER(SEARCH('Карта учёта'!$B$20,Расходка[[#This Row],[Наименование расходного материала]])),MAX($N$1:N10)+1,0)</f>
        <v>10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02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0</v>
      </c>
      <c r="L12" s="103">
        <f>IF(ISNUMBER(SEARCH('Карта учёта'!$B$18,Расходка[[#This Row],[Наименование расходного материала]])),MAX($L$1:L11)+1,0)</f>
        <v>11</v>
      </c>
      <c r="M12" s="103">
        <f>IF(ISNUMBER(SEARCH('Карта учёта'!$B$19,Расходка[[#This Row],[Наименование расходного материала]])),MAX($M$1:M11)+1,0)</f>
        <v>11</v>
      </c>
      <c r="N12" s="103">
        <f>IF(ISNUMBER(SEARCH('Карта учёта'!$B$20,Расходка[[#This Row],[Наименование расходного материала]])),MAX($N$1:N11)+1,0)</f>
        <v>11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02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02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12</v>
      </c>
      <c r="M13" s="103">
        <f>IF(ISNUMBER(SEARCH('Карта учёта'!$B$19,Расходка[[#This Row],[Наименование расходного материала]])),MAX($M$1:M12)+1,0)</f>
        <v>12</v>
      </c>
      <c r="N13" s="103">
        <f>IF(ISNUMBER(SEARCH('Карта учёта'!$B$20,Расходка[[#This Row],[Наименование расходного материала]])),MAX($N$1:N12)+1,0)</f>
        <v>12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>Nitrex 260</v>
      </c>
      <c r="Z13" s="102" t="str">
        <f>IFERROR(INDEX(Расходка[Наименование расходного материала],MATCH(Расходка[[#This Row],[№]],Поиск_расходки[Индекс9],0)),"")</f>
        <v>Nitrex 260</v>
      </c>
      <c r="AA13" s="102" t="str">
        <f>IFERROR(INDEX(Расходка[Наименование расходного материала],MATCH(Расходка[[#This Row],[№]],Поиск_расходки[Индекс10],0)),"")</f>
        <v>Nitrex 260</v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71">
        <v>254570</v>
      </c>
      <c r="AN13" s="2"/>
      <c r="AO13" t="s">
        <v>523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13</v>
      </c>
      <c r="M14" s="103">
        <f>IF(ISNUMBER(SEARCH('Карта учёта'!$B$19,Расходка[[#This Row],[Наименование расходного материала]])),MAX($M$1:M13)+1,0)</f>
        <v>13</v>
      </c>
      <c r="N14" s="103">
        <f>IF(ISNUMBER(SEARCH('Карта учёта'!$B$20,Расходка[[#This Row],[Наименование расходного материала]])),MAX($N$1:N13)+1,0)</f>
        <v>13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>RadiFocus</v>
      </c>
      <c r="Z14" s="102" t="str">
        <f>IFERROR(INDEX(Расходка[Наименование расходного материала],MATCH(Расходка[[#This Row],[№]],Поиск_расходки[Индекс9],0)),"")</f>
        <v>RadiFocus</v>
      </c>
      <c r="AA14" s="102" t="str">
        <f>IFERROR(INDEX(Расходка[Наименование расходного материала],MATCH(Расходка[[#This Row],[№]],Поиск_расходки[Индекс10],0)),"")</f>
        <v>RadiFocus</v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14</v>
      </c>
      <c r="M15" s="103">
        <f>IF(ISNUMBER(SEARCH('Карта учёта'!$B$19,Расходка[[#This Row],[Наименование расходного материала]])),MAX($M$1:M14)+1,0)</f>
        <v>14</v>
      </c>
      <c r="N15" s="103">
        <f>IF(ISNUMBER(SEARCH('Карта учёта'!$B$20,Расходка[[#This Row],[Наименование расходного материала]])),MAX($N$1:N14)+1,0)</f>
        <v>14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>BasixCOMPAK</v>
      </c>
      <c r="Z15" s="102" t="str">
        <f>IFERROR(INDEX(Расходка[Наименование расходного материала],MATCH(Расходка[[#This Row],[№]],Поиск_расходки[Индекс9],0)),"")</f>
        <v>BasixCOMPAK</v>
      </c>
      <c r="AA15" s="102" t="str">
        <f>IFERROR(INDEX(Расходка[Наименование расходного материала],MATCH(Расходка[[#This Row],[№]],Поиск_расходки[Индекс10],0)),"")</f>
        <v>BasixCOMPAK</v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15</v>
      </c>
      <c r="M16" s="103">
        <f>IF(ISNUMBER(SEARCH('Карта учёта'!$B$19,Расходка[[#This Row],[Наименование расходного материала]])),MAX($M$1:M15)+1,0)</f>
        <v>15</v>
      </c>
      <c r="N16" s="103">
        <f>IF(ISNUMBER(SEARCH('Карта учёта'!$B$20,Расходка[[#This Row],[Наименование расходного материала]])),MAX($N$1:N15)+1,0)</f>
        <v>15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>BasixTOUCH</v>
      </c>
      <c r="Z16" s="102" t="str">
        <f>IFERROR(INDEX(Расходка[Наименование расходного материала],MATCH(Расходка[[#This Row],[№]],Поиск_расходки[Индекс9],0)),"")</f>
        <v>BasixTOUCH</v>
      </c>
      <c r="AA16" s="102" t="str">
        <f>IFERROR(INDEX(Расходка[Наименование расходного материала],MATCH(Расходка[[#This Row],[№]],Поиск_расходки[Индекс10],0)),"")</f>
        <v>BasixTOUCH</v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16</v>
      </c>
      <c r="M17" s="103">
        <f>IF(ISNUMBER(SEARCH('Карта учёта'!$B$19,Расходка[[#This Row],[Наименование расходного материала]])),MAX($M$1:M16)+1,0)</f>
        <v>16</v>
      </c>
      <c r="N17" s="103">
        <f>IF(ISNUMBER(SEARCH('Карта учёта'!$B$20,Расходка[[#This Row],[Наименование расходного материала]])),MAX($N$1:N16)+1,0)</f>
        <v>16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>Dolphin</v>
      </c>
      <c r="Z17" s="102" t="str">
        <f>IFERROR(INDEX(Расходка[Наименование расходного материала],MATCH(Расходка[[#This Row],[№]],Поиск_расходки[Индекс9],0)),"")</f>
        <v>Dolphin</v>
      </c>
      <c r="AA17" s="102" t="str">
        <f>IFERROR(INDEX(Расходка[Наименование расходного материала],MATCH(Расходка[[#This Row],[№]],Поиск_расходки[Индекс10],0)),"")</f>
        <v>Dolphin</v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17</v>
      </c>
      <c r="M18" s="103">
        <f>IF(ISNUMBER(SEARCH('Карта учёта'!$B$19,Расходка[[#This Row],[Наименование расходного материала]])),MAX($M$1:M17)+1,0)</f>
        <v>17</v>
      </c>
      <c r="N18" s="103">
        <f>IF(ISNUMBER(SEARCH('Карта учёта'!$B$20,Расходка[[#This Row],[Наименование расходного материала]])),MAX($N$1:N17)+1,0)</f>
        <v>17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>Lepu Medical</v>
      </c>
      <c r="Z18" s="102" t="str">
        <f>IFERROR(INDEX(Расходка[Наименование расходного материала],MATCH(Расходка[[#This Row],[№]],Поиск_расходки[Индекс9],0)),"")</f>
        <v>Lepu Medical</v>
      </c>
      <c r="AA18" s="102" t="str">
        <f>IFERROR(INDEX(Расходка[Наименование расходного материала],MATCH(Расходка[[#This Row],[№]],Поиск_расходки[Индекс10],0)),"")</f>
        <v>Lepu Medical</v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18</v>
      </c>
      <c r="M19" s="103">
        <f>IF(ISNUMBER(SEARCH('Карта учёта'!$B$19,Расходка[[#This Row],[Наименование расходного материала]])),MAX($M$1:M18)+1,0)</f>
        <v>18</v>
      </c>
      <c r="N19" s="103">
        <f>IF(ISNUMBER(SEARCH('Карта учёта'!$B$20,Расходка[[#This Row],[Наименование расходного материала]])),MAX($N$1:N18)+1,0)</f>
        <v>18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02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02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19</v>
      </c>
      <c r="M20" s="103">
        <f>IF(ISNUMBER(SEARCH('Карта учёта'!$B$19,Расходка[[#This Row],[Наименование расходного материала]])),MAX($M$1:M19)+1,0)</f>
        <v>19</v>
      </c>
      <c r="N20" s="103">
        <f>IF(ISNUMBER(SEARCH('Карта учёта'!$B$20,Расходка[[#This Row],[Наименование расходного материала]])),MAX($N$1:N19)+1,0)</f>
        <v>19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>Demax</v>
      </c>
      <c r="Z20" s="102" t="str">
        <f>IFERROR(INDEX(Расходка[Наименование расходного материала],MATCH(Расходка[[#This Row],[№]],Поиск_расходки[Индекс9],0)),"")</f>
        <v>Demax</v>
      </c>
      <c r="AA20" s="102" t="str">
        <f>IFERROR(INDEX(Расходка[Наименование расходного материала],MATCH(Расходка[[#This Row],[№]],Поиск_расходки[Индекс10],0)),"")</f>
        <v>Demax</v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20</v>
      </c>
      <c r="M21" s="103">
        <f>IF(ISNUMBER(SEARCH('Карта учёта'!$B$19,Расходка[[#This Row],[Наименование расходного материала]])),MAX($M$1:M20)+1,0)</f>
        <v>20</v>
      </c>
      <c r="N21" s="103">
        <f>IF(ISNUMBER(SEARCH('Карта учёта'!$B$20,Расходка[[#This Row],[Наименование расходного материала]])),MAX($N$1:N20)+1,0)</f>
        <v>20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>Oscor 7F</v>
      </c>
      <c r="Z21" s="102" t="str">
        <f>IFERROR(INDEX(Расходка[Наименование расходного материала],MATCH(Расходка[[#This Row],[№]],Поиск_расходки[Индекс9],0)),"")</f>
        <v>Oscor 7F</v>
      </c>
      <c r="AA21" s="102" t="str">
        <f>IFERROR(INDEX(Расходка[Наименование расходного материала],MATCH(Расходка[[#This Row],[№]],Поиск_расходки[Индекс10],0)),"")</f>
        <v>Oscor 7F</v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21</v>
      </c>
      <c r="M22" s="103">
        <f>IF(ISNUMBER(SEARCH('Карта учёта'!$B$19,Расходка[[#This Row],[Наименование расходного материала]])),MAX($M$1:M21)+1,0)</f>
        <v>21</v>
      </c>
      <c r="N22" s="103">
        <f>IF(ISNUMBER(SEARCH('Карта учёта'!$B$20,Расходка[[#This Row],[Наименование расходного материала]])),MAX($N$1:N21)+1,0)</f>
        <v>21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02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02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22</v>
      </c>
      <c r="M23" s="103">
        <f>IF(ISNUMBER(SEARCH('Карта учёта'!$B$19,Расходка[[#This Row],[Наименование расходного материала]])),MAX($M$1:M22)+1,0)</f>
        <v>22</v>
      </c>
      <c r="N23" s="103">
        <f>IF(ISNUMBER(SEARCH('Карта учёта'!$B$20,Расходка[[#This Row],[Наименование расходного материала]])),MAX($N$1:N22)+1,0)</f>
        <v>22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02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02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23</v>
      </c>
      <c r="M24" s="103">
        <f>IF(ISNUMBER(SEARCH('Карта учёта'!$B$19,Расходка[[#This Row],[Наименование расходного материала]])),MAX($M$1:M23)+1,0)</f>
        <v>23</v>
      </c>
      <c r="N24" s="103">
        <f>IF(ISNUMBER(SEARCH('Карта учёта'!$B$20,Расходка[[#This Row],[Наименование расходного материала]])),MAX($N$1:N23)+1,0)</f>
        <v>23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02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02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24</v>
      </c>
      <c r="M25" s="103">
        <f>IF(ISNUMBER(SEARCH('Карта учёта'!$B$19,Расходка[[#This Row],[Наименование расходного материала]])),MAX($M$1:M24)+1,0)</f>
        <v>24</v>
      </c>
      <c r="N25" s="103">
        <f>IF(ISNUMBER(SEARCH('Карта учёта'!$B$20,Расходка[[#This Row],[Наименование расходного материала]])),MAX($N$1:N24)+1,0)</f>
        <v>24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02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02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25</v>
      </c>
      <c r="M26" s="103">
        <f>IF(ISNUMBER(SEARCH('Карта учёта'!$B$19,Расходка[[#This Row],[Наименование расходного материала]])),MAX($M$1:M25)+1,0)</f>
        <v>25</v>
      </c>
      <c r="N26" s="103">
        <f>IF(ISNUMBER(SEARCH('Карта учёта'!$B$20,Расходка[[#This Row],[Наименование расходного материала]])),MAX($N$1:N25)+1,0)</f>
        <v>25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02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02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26</v>
      </c>
      <c r="M27" s="103">
        <f>IF(ISNUMBER(SEARCH('Карта учёта'!$B$19,Расходка[[#This Row],[Наименование расходного материала]])),MAX($M$1:M26)+1,0)</f>
        <v>26</v>
      </c>
      <c r="N27" s="103">
        <f>IF(ISNUMBER(SEARCH('Карта учёта'!$B$20,Расходка[[#This Row],[Наименование расходного материала]])),MAX($N$1:N26)+1,0)</f>
        <v>26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>Fielder</v>
      </c>
      <c r="Z27" s="102" t="str">
        <f>IFERROR(INDEX(Расходка[Наименование расходного материала],MATCH(Расходка[[#This Row],[№]],Поиск_расходки[Индекс9],0)),"")</f>
        <v>Fielder</v>
      </c>
      <c r="AA27" s="102" t="str">
        <f>IFERROR(INDEX(Расходка[Наименование расходного материала],MATCH(Расходка[[#This Row],[№]],Поиск_расходки[Индекс10],0)),"")</f>
        <v>Fielder</v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27</v>
      </c>
      <c r="M28" s="103">
        <f>IF(ISNUMBER(SEARCH('Карта учёта'!$B$19,Расходка[[#This Row],[Наименование расходного материала]])),MAX($M$1:M27)+1,0)</f>
        <v>27</v>
      </c>
      <c r="N28" s="103">
        <f>IF(ISNUMBER(SEARCH('Карта учёта'!$B$20,Расходка[[#This Row],[Наименование расходного материала]])),MAX($N$1:N27)+1,0)</f>
        <v>27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>Fielder XT-A</v>
      </c>
      <c r="Z28" s="102" t="str">
        <f>IFERROR(INDEX(Расходка[Наименование расходного материала],MATCH(Расходка[[#This Row],[№]],Поиск_расходки[Индекс9],0)),"")</f>
        <v>Fielder XT-A</v>
      </c>
      <c r="AA28" s="102" t="str">
        <f>IFERROR(INDEX(Расходка[Наименование расходного материала],MATCH(Расходка[[#This Row],[№]],Поиск_расходки[Индекс10],0)),"")</f>
        <v>Fielder XT-A</v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28</v>
      </c>
      <c r="M29" s="103">
        <f>IF(ISNUMBER(SEARCH('Карта учёта'!$B$19,Расходка[[#This Row],[Наименование расходного материала]])),MAX($M$1:M28)+1,0)</f>
        <v>28</v>
      </c>
      <c r="N29" s="103">
        <f>IF(ISNUMBER(SEARCH('Карта учёта'!$B$20,Расходка[[#This Row],[Наименование расходного материала]])),MAX($N$1:N28)+1,0)</f>
        <v>28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>Fielder XT-R</v>
      </c>
      <c r="Z29" s="102" t="str">
        <f>IFERROR(INDEX(Расходка[Наименование расходного материала],MATCH(Расходка[[#This Row],[№]],Поиск_расходки[Индекс9],0)),"")</f>
        <v>Fielder XT-R</v>
      </c>
      <c r="AA29" s="102" t="str">
        <f>IFERROR(INDEX(Расходка[Наименование расходного материала],MATCH(Расходка[[#This Row],[№]],Поиск_расходки[Индекс10],0)),"")</f>
        <v>Fielder XT-R</v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29</v>
      </c>
      <c r="M30" s="103">
        <f>IF(ISNUMBER(SEARCH('Карта учёта'!$B$19,Расходка[[#This Row],[Наименование расходного материала]])),MAX($M$1:M29)+1,0)</f>
        <v>29</v>
      </c>
      <c r="N30" s="103">
        <f>IF(ISNUMBER(SEARCH('Карта учёта'!$B$20,Расходка[[#This Row],[Наименование расходного материала]])),MAX($N$1:N29)+1,0)</f>
        <v>29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02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02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30</v>
      </c>
      <c r="M31" s="103">
        <f>IF(ISNUMBER(SEARCH('Карта учёта'!$B$19,Расходка[[#This Row],[Наименование расходного материала]])),MAX($M$1:M30)+1,0)</f>
        <v>30</v>
      </c>
      <c r="N31" s="103">
        <f>IF(ISNUMBER(SEARCH('Карта учёта'!$B$20,Расходка[[#This Row],[Наименование расходного материала]])),MAX($N$1:N30)+1,0)</f>
        <v>30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02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02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31</v>
      </c>
      <c r="M32" s="103">
        <f>IF(ISNUMBER(SEARCH('Карта учёта'!$B$19,Расходка[[#This Row],[Наименование расходного материала]])),MAX($M$1:M31)+1,0)</f>
        <v>31</v>
      </c>
      <c r="N32" s="103">
        <f>IF(ISNUMBER(SEARCH('Карта учёта'!$B$20,Расходка[[#This Row],[Наименование расходного материала]])),MAX($N$1:N31)+1,0)</f>
        <v>31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02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02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32</v>
      </c>
      <c r="M33" s="103">
        <f>IF(ISNUMBER(SEARCH('Карта учёта'!$B$19,Расходка[[#This Row],[Наименование расходного материала]])),MAX($M$1:M32)+1,0)</f>
        <v>32</v>
      </c>
      <c r="N33" s="103">
        <f>IF(ISNUMBER(SEARCH('Карта учёта'!$B$20,Расходка[[#This Row],[Наименование расходного материала]])),MAX($N$1:N32)+1,0)</f>
        <v>32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>Intuition</v>
      </c>
      <c r="Z33" s="102" t="str">
        <f>IFERROR(INDEX(Расходка[Наименование расходного материала],MATCH(Расходка[[#This Row],[№]],Поиск_расходки[Индекс9],0)),"")</f>
        <v>Intuition</v>
      </c>
      <c r="AA33" s="102" t="str">
        <f>IFERROR(INDEX(Расходка[Наименование расходного материала],MATCH(Расходка[[#This Row],[№]],Поиск_расходки[Индекс10],0)),"")</f>
        <v>Intuition</v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33</v>
      </c>
      <c r="M34" s="103">
        <f>IF(ISNUMBER(SEARCH('Карта учёта'!$B$19,Расходка[[#This Row],[Наименование расходного материала]])),MAX($M$1:M33)+1,0)</f>
        <v>33</v>
      </c>
      <c r="N34" s="103">
        <f>IF(ISNUMBER(SEARCH('Карта учёта'!$B$20,Расходка[[#This Row],[Наименование расходного материала]])),MAX($N$1:N33)+1,0)</f>
        <v>33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02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02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34</v>
      </c>
      <c r="M35" s="103">
        <f>IF(ISNUMBER(SEARCH('Карта учёта'!$B$19,Расходка[[#This Row],[Наименование расходного материала]])),MAX($M$1:M34)+1,0)</f>
        <v>34</v>
      </c>
      <c r="N35" s="103">
        <f>IF(ISNUMBER(SEARCH('Карта учёта'!$B$20,Расходка[[#This Row],[Наименование расходного материала]])),MAX($N$1:N34)+1,0)</f>
        <v>34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02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02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35</v>
      </c>
      <c r="M36" s="103">
        <f>IF(ISNUMBER(SEARCH('Карта учёта'!$B$19,Расходка[[#This Row],[Наименование расходного материала]])),MAX($M$1:M35)+1,0)</f>
        <v>35</v>
      </c>
      <c r="N36" s="103">
        <f>IF(ISNUMBER(SEARCH('Карта учёта'!$B$20,Расходка[[#This Row],[Наименование расходного материала]])),MAX($N$1:N35)+1,0)</f>
        <v>35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02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02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36</v>
      </c>
      <c r="M37" s="103">
        <f>IF(ISNUMBER(SEARCH('Карта учёта'!$B$19,Расходка[[#This Row],[Наименование расходного материала]])),MAX($M$1:M36)+1,0)</f>
        <v>36</v>
      </c>
      <c r="N37" s="103">
        <f>IF(ISNUMBER(SEARCH('Карта учёта'!$B$20,Расходка[[#This Row],[Наименование расходного материала]])),MAX($N$1:N36)+1,0)</f>
        <v>36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>Rinato</v>
      </c>
      <c r="Z37" s="102" t="str">
        <f>IFERROR(INDEX(Расходка[Наименование расходного материала],MATCH(Расходка[[#This Row],[№]],Поиск_расходки[Индекс9],0)),"")</f>
        <v>Rinato</v>
      </c>
      <c r="AA37" s="102" t="str">
        <f>IFERROR(INDEX(Расходка[Наименование расходного материала],MATCH(Расходка[[#This Row],[№]],Поиск_расходки[Индекс10],0)),"")</f>
        <v>Rinato</v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37</v>
      </c>
      <c r="M38" s="103">
        <f>IF(ISNUMBER(SEARCH('Карта учёта'!$B$19,Расходка[[#This Row],[Наименование расходного материала]])),MAX($M$1:M37)+1,0)</f>
        <v>37</v>
      </c>
      <c r="N38" s="103">
        <f>IF(ISNUMBER(SEARCH('Карта учёта'!$B$20,Расходка[[#This Row],[Наименование расходного материала]])),MAX($N$1:N37)+1,0)</f>
        <v>37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02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02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38</v>
      </c>
      <c r="M39" s="103">
        <f>IF(ISNUMBER(SEARCH('Карта учёта'!$B$19,Расходка[[#This Row],[Наименование расходного материала]])),MAX($M$1:M38)+1,0)</f>
        <v>38</v>
      </c>
      <c r="N39" s="103">
        <f>IF(ISNUMBER(SEARCH('Карта учёта'!$B$20,Расходка[[#This Row],[Наименование расходного материала]])),MAX($N$1:N38)+1,0)</f>
        <v>38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02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02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39</v>
      </c>
      <c r="M40" s="103">
        <f>IF(ISNUMBER(SEARCH('Карта учёта'!$B$19,Расходка[[#This Row],[Наименование расходного материала]])),MAX($M$1:M39)+1,0)</f>
        <v>39</v>
      </c>
      <c r="N40" s="103">
        <f>IF(ISNUMBER(SEARCH('Карта учёта'!$B$20,Расходка[[#This Row],[Наименование расходного материала]])),MAX($N$1:N39)+1,0)</f>
        <v>39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02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02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0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0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40</v>
      </c>
      <c r="M41" s="103">
        <f>IF(ISNUMBER(SEARCH('Карта учёта'!$B$19,Расходка[[#This Row],[Наименование расходного материала]])),MAX($M$1:M40)+1,0)</f>
        <v>40</v>
      </c>
      <c r="N41" s="103">
        <f>IF(ISNUMBER(SEARCH('Карта учёта'!$B$20,Расходка[[#This Row],[Наименование расходного материала]])),MAX($N$1:N40)+1,0)</f>
        <v>40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>Sion</v>
      </c>
      <c r="Z41" s="102" t="str">
        <f>IFERROR(INDEX(Расходка[Наименование расходного материала],MATCH(Расходка[[#This Row],[№]],Поиск_расходки[Индекс9],0)),"")</f>
        <v>Sion</v>
      </c>
      <c r="AA41" s="102" t="str">
        <f>IFERROR(INDEX(Расходка[Наименование расходного материала],MATCH(Расходка[[#This Row],[№]],Поиск_расходки[Индекс10],0)),"")</f>
        <v>Sion</v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0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0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41</v>
      </c>
      <c r="M42" s="103">
        <f>IF(ISNUMBER(SEARCH('Карта учёта'!$B$19,Расходка[[#This Row],[Наименование расходного материала]])),MAX($M$1:M41)+1,0)</f>
        <v>41</v>
      </c>
      <c r="N42" s="103">
        <f>IF(ISNUMBER(SEARCH('Карта учёта'!$B$20,Расходка[[#This Row],[Наименование расходного материала]])),MAX($N$1:N41)+1,0)</f>
        <v>41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>Sion Black</v>
      </c>
      <c r="Z42" s="102" t="str">
        <f>IFERROR(INDEX(Расходка[Наименование расходного материала],MATCH(Расходка[[#This Row],[№]],Поиск_расходки[Индекс9],0)),"")</f>
        <v>Sion Black</v>
      </c>
      <c r="AA42" s="102" t="str">
        <f>IFERROR(INDEX(Расходка[Наименование расходного материала],MATCH(Расходка[[#This Row],[№]],Поиск_расходки[Индекс10],0)),"")</f>
        <v>Sion Black</v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0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0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42</v>
      </c>
      <c r="M43" s="103">
        <f>IF(ISNUMBER(SEARCH('Карта учёта'!$B$19,Расходка[[#This Row],[Наименование расходного материала]])),MAX($M$1:M42)+1,0)</f>
        <v>42</v>
      </c>
      <c r="N43" s="103">
        <f>IF(ISNUMBER(SEARCH('Карта учёта'!$B$20,Расходка[[#This Row],[Наименование расходного материала]])),MAX($N$1:N42)+1,0)</f>
        <v>42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>Sion Blue</v>
      </c>
      <c r="Z43" s="102" t="str">
        <f>IFERROR(INDEX(Расходка[Наименование расходного материала],MATCH(Расходка[[#This Row],[№]],Поиск_расходки[Индекс9],0)),"")</f>
        <v>Sion Blue</v>
      </c>
      <c r="AA43" s="102" t="str">
        <f>IFERROR(INDEX(Расходка[Наименование расходного материала],MATCH(Расходка[[#This Row],[№]],Поиск_расходки[Индекс10],0)),"")</f>
        <v>Sion Blue</v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43</v>
      </c>
      <c r="M44" s="103">
        <f>IF(ISNUMBER(SEARCH('Карта учёта'!$B$19,Расходка[[#This Row],[Наименование расходного материала]])),MAX($M$1:M43)+1,0)</f>
        <v>43</v>
      </c>
      <c r="N44" s="103">
        <f>IF(ISNUMBER(SEARCH('Карта учёта'!$B$20,Расходка[[#This Row],[Наименование расходного материала]])),MAX($N$1:N43)+1,0)</f>
        <v>43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>Thunder</v>
      </c>
      <c r="Z44" s="102" t="str">
        <f>IFERROR(INDEX(Расходка[Наименование расходного материала],MATCH(Расходка[[#This Row],[№]],Поиск_расходки[Индекс9],0)),"")</f>
        <v>Thunder</v>
      </c>
      <c r="AA44" s="102" t="str">
        <f>IFERROR(INDEX(Расходка[Наименование расходного материала],MATCH(Расходка[[#This Row],[№]],Поиск_расходки[Индекс10],0)),"")</f>
        <v>Thunder</v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519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44</v>
      </c>
      <c r="M45" s="103">
        <f>IF(ISNUMBER(SEARCH('Карта учёта'!$B$19,Расходка[[#This Row],[Наименование расходного материала]])),MAX($M$1:M44)+1,0)</f>
        <v>44</v>
      </c>
      <c r="N45" s="103">
        <f>IF(ISNUMBER(SEARCH('Карта учёта'!$B$20,Расходка[[#This Row],[Наименование расходного материала]])),MAX($N$1:N44)+1,0)</f>
        <v>44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02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02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45</v>
      </c>
      <c r="M46" s="103">
        <f>IF(ISNUMBER(SEARCH('Карта учёта'!$B$19,Расходка[[#This Row],[Наименование расходного материала]])),MAX($M$1:M45)+1,0)</f>
        <v>45</v>
      </c>
      <c r="N46" s="103">
        <f>IF(ISNUMBER(SEARCH('Карта учёта'!$B$20,Расходка[[#This Row],[Наименование расходного материала]])),MAX($N$1:N45)+1,0)</f>
        <v>45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02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02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46</v>
      </c>
      <c r="M47" s="103">
        <f>IF(ISNUMBER(SEARCH('Карта учёта'!$B$19,Расходка[[#This Row],[Наименование расходного материала]])),MAX($M$1:M46)+1,0)</f>
        <v>46</v>
      </c>
      <c r="N47" s="103">
        <f>IF(ISNUMBER(SEARCH('Карта учёта'!$B$20,Расходка[[#This Row],[Наименование расходного материала]])),MAX($N$1:N46)+1,0)</f>
        <v>46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>Winn 200T</v>
      </c>
      <c r="Z47" s="102" t="str">
        <f>IFERROR(INDEX(Расходка[Наименование расходного материала],MATCH(Расходка[[#This Row],[№]],Поиск_расходки[Индекс9],0)),"")</f>
        <v>Winn 200T</v>
      </c>
      <c r="AA47" s="102" t="str">
        <f>IFERROR(INDEX(Расходка[Наименование расходного материала],MATCH(Расходка[[#This Row],[№]],Поиск_расходки[Индекс10],0)),"")</f>
        <v>Winn 200T</v>
      </c>
      <c r="AB47" s="102" t="str">
        <f>IFERROR(INDEX(Расходка[Наименование расходного материала],MATCH(Расходка[[#This Row],[№]],Поиск_расходки[Индекс11],0)),"")</f>
        <v>Winn 200T</v>
      </c>
      <c r="AC47" s="102" t="str">
        <f>IFERROR(INDEX(Расходка[Наименование расходного материала],MATCH(Расходка[[#This Row],[№]],Поиск_расходки[Индекс12],0)),"")</f>
        <v>Winn 200T</v>
      </c>
      <c r="AD47" s="102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47</v>
      </c>
      <c r="M48" s="103">
        <f>IF(ISNUMBER(SEARCH('Карта учёта'!$B$19,Расходка[[#This Row],[Наименование расходного материала]])),MAX($M$1:M47)+1,0)</f>
        <v>47</v>
      </c>
      <c r="N48" s="103">
        <f>IF(ISNUMBER(SEARCH('Карта учёта'!$B$20,Расходка[[#This Row],[Наименование расходного материала]])),MAX($N$1:N47)+1,0)</f>
        <v>47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02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02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510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48</v>
      </c>
      <c r="M49" s="103">
        <f>IF(ISNUMBER(SEARCH('Карта учёта'!$B$19,Расходка[[#This Row],[Наименование расходного материала]])),MAX($M$1:M48)+1,0)</f>
        <v>48</v>
      </c>
      <c r="N49" s="103">
        <f>IF(ISNUMBER(SEARCH('Карта учёта'!$B$20,Расходка[[#This Row],[Наименование расходного материала]])),MAX($N$1:N48)+1,0)</f>
        <v>48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02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02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49</v>
      </c>
      <c r="M50" s="103">
        <f>IF(ISNUMBER(SEARCH('Карта учёта'!$B$19,Расходка[[#This Row],[Наименование расходного материала]])),MAX($M$1:M49)+1,0)</f>
        <v>49</v>
      </c>
      <c r="N50" s="103">
        <f>IF(ISNUMBER(SEARCH('Карта учёта'!$B$20,Расходка[[#This Row],[Наименование расходного материала]])),MAX($N$1:N49)+1,0)</f>
        <v>49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02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02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50</v>
      </c>
      <c r="M51" s="103">
        <f>IF(ISNUMBER(SEARCH('Карта учёта'!$B$19,Расходка[[#This Row],[Наименование расходного материала]])),MAX($M$1:M50)+1,0)</f>
        <v>50</v>
      </c>
      <c r="N51" s="103">
        <f>IF(ISNUMBER(SEARCH('Карта учёта'!$B$20,Расходка[[#This Row],[Наименование расходного материала]])),MAX($N$1:N50)+1,0)</f>
        <v>50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02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02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524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0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51</v>
      </c>
      <c r="M52" s="103">
        <f>IF(ISNUMBER(SEARCH('Карта учёта'!$B$19,Расходка[[#This Row],[Наименование расходного материала]])),MAX($M$1:M51)+1,0)</f>
        <v>51</v>
      </c>
      <c r="N52" s="103">
        <f>IF(ISNUMBER(SEARCH('Карта учёта'!$B$20,Расходка[[#This Row],[Наименование расходного материала]])),MAX($N$1:N51)+1,0)</f>
        <v>51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>Shunmei 0,6</v>
      </c>
      <c r="Z52" s="102" t="str">
        <f>IFERROR(INDEX(Расходка[Наименование расходного материала],MATCH(Расходка[[#This Row],[№]],Поиск_расходки[Индекс9],0)),"")</f>
        <v>Shunmei 0,6</v>
      </c>
      <c r="AA52" s="102" t="str">
        <f>IFERROR(INDEX(Расходка[Наименование расходного материала],MATCH(Расходка[[#This Row],[№]],Поиск_расходки[Индекс10],0)),"")</f>
        <v>Shunmei 0,6</v>
      </c>
      <c r="AB52" s="102" t="str">
        <f>IFERROR(INDEX(Расходка[Наименование расходного материала],MATCH(Расходка[[#This Row],[№]],Поиск_расходки[Индекс11],0)),"")</f>
        <v>Shunmei 0,6</v>
      </c>
      <c r="AC52" s="102" t="str">
        <f>IFERROR(INDEX(Расходка[Наименование расходного материала],MATCH(Расходка[[#This Row],[№]],Поиск_расходки[Индекс12],0)),"")</f>
        <v>Shunmei 0,6</v>
      </c>
      <c r="AD52" s="102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525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0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1</v>
      </c>
      <c r="L53" s="103">
        <f>IF(ISNUMBER(SEARCH('Карта учёта'!$B$18,Расходка[[#This Row],[Наименование расходного материала]])),MAX($L$1:L52)+1,0)</f>
        <v>52</v>
      </c>
      <c r="M53" s="103">
        <f>IF(ISNUMBER(SEARCH('Карта учёта'!$B$19,Расходка[[#This Row],[Наименование расходного материала]])),MAX($M$1:M52)+1,0)</f>
        <v>52</v>
      </c>
      <c r="N53" s="103">
        <f>IF(ISNUMBER(SEARCH('Карта учёта'!$B$20,Расходка[[#This Row],[Наименование расходного материала]])),MAX($N$1:N52)+1,0)</f>
        <v>52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>Shunmei 0,7</v>
      </c>
      <c r="Z53" s="102" t="str">
        <f>IFERROR(INDEX(Расходка[Наименование расходного материала],MATCH(Расходка[[#This Row],[№]],Поиск_расходки[Индекс9],0)),"")</f>
        <v>Shunmei 0,7</v>
      </c>
      <c r="AA53" s="102" t="str">
        <f>IFERROR(INDEX(Расходка[Наименование расходного материала],MATCH(Расходка[[#This Row],[№]],Поиск_расходки[Индекс10],0)),"")</f>
        <v>Shunmei 0,7</v>
      </c>
      <c r="AB53" s="102" t="str">
        <f>IFERROR(INDEX(Расходка[Наименование расходного материала],MATCH(Расходка[[#This Row],[№]],Поиск_расходки[Индекс11],0)),"")</f>
        <v>Shunmei 0,7</v>
      </c>
      <c r="AC53" s="102" t="str">
        <f>IFERROR(INDEX(Расходка[Наименование расходного материала],MATCH(Расходка[[#This Row],[№]],Поиск_расходки[Индекс12],0)),"")</f>
        <v>Shunmei 0,7</v>
      </c>
      <c r="AD53" s="102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521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53</v>
      </c>
      <c r="M54" s="103">
        <f>IF(ISNUMBER(SEARCH('Карта учёта'!$B$19,Расходка[[#This Row],[Наименование расходного материала]])),MAX($M$1:M53)+1,0)</f>
        <v>53</v>
      </c>
      <c r="N54" s="103">
        <f>IF(ISNUMBER(SEARCH('Карта учёта'!$B$20,Расходка[[#This Row],[Наименование расходного материала]])),MAX($N$1:N53)+1,0)</f>
        <v>53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>Pilot 150, 190 cm</v>
      </c>
      <c r="Z54" s="102" t="str">
        <f>IFERROR(INDEX(Расходка[Наименование расходного материала],MATCH(Расходка[[#This Row],[№]],Поиск_расходки[Индекс9],0)),"")</f>
        <v>Pilot 150, 190 cm</v>
      </c>
      <c r="AA54" s="102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522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54</v>
      </c>
      <c r="M55" s="103">
        <f>IF(ISNUMBER(SEARCH('Карта учёта'!$B$19,Расходка[[#This Row],[Наименование расходного материала]])),MAX($M$1:M54)+1,0)</f>
        <v>54</v>
      </c>
      <c r="N55" s="103">
        <f>IF(ISNUMBER(SEARCH('Карта учёта'!$B$20,Расходка[[#This Row],[Наименование расходного материала]])),MAX($N$1:N54)+1,0)</f>
        <v>54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>Pilot 150, 300 cm</v>
      </c>
      <c r="Z55" s="102" t="str">
        <f>IFERROR(INDEX(Расходка[Наименование расходного материала],MATCH(Расходка[[#This Row],[№]],Поиск_расходки[Индекс9],0)),"")</f>
        <v>Pilot 150, 300 cm</v>
      </c>
      <c r="AA55" s="102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55</v>
      </c>
      <c r="M56" s="103">
        <f>IF(ISNUMBER(SEARCH('Карта учёта'!$B$19,Расходка[[#This Row],[Наименование расходного материала]])),MAX($M$1:M55)+1,0)</f>
        <v>55</v>
      </c>
      <c r="N56" s="103">
        <f>IF(ISNUMBER(SEARCH('Карта учёта'!$B$20,Расходка[[#This Row],[Наименование расходного материала]])),MAX($N$1:N55)+1,0)</f>
        <v>55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>BMS, Integtity</v>
      </c>
      <c r="Z56" s="102" t="str">
        <f>IFERROR(INDEX(Расходка[Наименование расходного материала],MATCH(Расходка[[#This Row],[№]],Поиск_расходки[Индекс9],0)),"")</f>
        <v>BMS, Integtity</v>
      </c>
      <c r="AA56" s="102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43" t="s">
        <v>346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56</v>
      </c>
      <c r="M57" s="103">
        <f>IF(ISNUMBER(SEARCH('Карта учёта'!$B$19,Расходка[[#This Row],[Наименование расходного материала]])),MAX($M$1:M56)+1,0)</f>
        <v>56</v>
      </c>
      <c r="N57" s="103">
        <f>IF(ISNUMBER(SEARCH('Карта учёта'!$B$20,Расходка[[#This Row],[Наименование расходного материала]])),MAX($N$1:N56)+1,0)</f>
        <v>56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>DES, Calipso</v>
      </c>
      <c r="Z57" s="102" t="str">
        <f>IFERROR(INDEX(Расходка[Наименование расходного материала],MATCH(Расходка[[#This Row],[№]],Поиск_расходки[Индекс9],0)),"")</f>
        <v>DES, Calipso</v>
      </c>
      <c r="AA57" s="102" t="str">
        <f>IFERROR(INDEX(Расходка[Наименование расходного материала],MATCH(Расходка[[#This Row],[№]],Поиск_расходки[Индекс10],0)),"")</f>
        <v>DES, Calipso</v>
      </c>
      <c r="AB57" s="102" t="str">
        <f>IFERROR(INDEX(Расходка[Наименование расходного материала],MATCH(Расходка[[#This Row],[№]],Поиск_расходки[Индекс11],0)),"")</f>
        <v>DES, Calipso</v>
      </c>
      <c r="AC57" s="102" t="str">
        <f>IFERROR(INDEX(Расходка[Наименование расходного материала],MATCH(Расходка[[#This Row],[№]],Поиск_расходки[Индекс12],0)),"")</f>
        <v>DES, Calipso</v>
      </c>
      <c r="AD57" s="102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345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57</v>
      </c>
      <c r="M58" s="103">
        <f>IF(ISNUMBER(SEARCH('Карта учёта'!$B$19,Расходка[[#This Row],[Наименование расходного материала]])),MAX($M$1:M57)+1,0)</f>
        <v>57</v>
      </c>
      <c r="N58" s="103">
        <f>IF(ISNUMBER(SEARCH('Карта учёта'!$B$20,Расходка[[#This Row],[Наименование расходного материала]])),MAX($N$1:N57)+1,0)</f>
        <v>57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>DES, NanoMed</v>
      </c>
      <c r="Z58" s="102" t="str">
        <f>IFERROR(INDEX(Расходка[Наименование расходного материала],MATCH(Расходка[[#This Row],[№]],Поиск_расходки[Индекс9],0)),"")</f>
        <v>DES, NanoMed</v>
      </c>
      <c r="AA58" s="102" t="str">
        <f>IFERROR(INDEX(Расходка[Наименование расходного материала],MATCH(Расходка[[#This Row],[№]],Поиск_расходки[Индекс10],0)),"")</f>
        <v>DES, NanoMed</v>
      </c>
      <c r="AB58" s="102" t="str">
        <f>IFERROR(INDEX(Расходка[Наименование расходного материала],MATCH(Расходка[[#This Row],[№]],Поиск_расходки[Индекс11],0)),"")</f>
        <v>DES, NanoMed</v>
      </c>
      <c r="AC58" s="102" t="str">
        <f>IFERROR(INDEX(Расходка[Наименование расходного материала],MATCH(Расходка[[#This Row],[№]],Поиск_расходки[Индекс12],0)),"")</f>
        <v>DES, NanoMed</v>
      </c>
      <c r="AD58" s="102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16" t="s">
        <v>324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1</v>
      </c>
      <c r="K59" s="103">
        <f>IF(ISNUMBER(SEARCH('Карта учёта'!$B$17,Расходка[[#This Row],[Наименование расходного материала]])),MAX($K$1:K58)+1,0)</f>
        <v>0</v>
      </c>
      <c r="L59" s="103">
        <f>IF(ISNUMBER(SEARCH('Карта учёта'!$B$18,Расходка[[#This Row],[Наименование расходного материала]])),MAX($L$1:L58)+1,0)</f>
        <v>58</v>
      </c>
      <c r="M59" s="103">
        <f>IF(ISNUMBER(SEARCH('Карта учёта'!$B$19,Расходка[[#This Row],[Наименование расходного материала]])),MAX($M$1:M58)+1,0)</f>
        <v>58</v>
      </c>
      <c r="N59" s="103">
        <f>IF(ISNUMBER(SEARCH('Карта учёта'!$B$20,Расходка[[#This Row],[Наименование расходного материала]])),MAX($N$1:N58)+1,0)</f>
        <v>58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9" s="102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9" s="102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59</v>
      </c>
      <c r="M60" s="103">
        <f>IF(ISNUMBER(SEARCH('Карта учёта'!$B$19,Расходка[[#This Row],[Наименование расходного материала]])),MAX($M$1:M59)+1,0)</f>
        <v>59</v>
      </c>
      <c r="N60" s="103">
        <f>IF(ISNUMBER(SEARCH('Карта учёта'!$B$20,Расходка[[#This Row],[Наименование расходного материала]])),MAX($N$1:N59)+1,0)</f>
        <v>59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>DES, Yukon Chrome PC</v>
      </c>
      <c r="Z60" s="102" t="str">
        <f>IFERROR(INDEX(Расходка[Наименование расходного материала],MATCH(Расходка[[#This Row],[№]],Поиск_расходки[Индекс9],0)),"")</f>
        <v>DES, Yukon Chrome PC</v>
      </c>
      <c r="AA60" s="102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s="147" t="s">
        <v>386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60</v>
      </c>
      <c r="M61" s="103">
        <f>IF(ISNUMBER(SEARCH('Карта учёта'!$B$19,Расходка[[#This Row],[Наименование расходного материала]])),MAX($M$1:M60)+1,0)</f>
        <v>60</v>
      </c>
      <c r="N61" s="103">
        <f>IF(ISNUMBER(SEARCH('Карта учёта'!$B$20,Расходка[[#This Row],[Наименование расходного материала]])),MAX($N$1:N60)+1,0)</f>
        <v>60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>DES, Firehawk</v>
      </c>
      <c r="Z61" s="102" t="str">
        <f>IFERROR(INDEX(Расходка[Наименование расходного материала],MATCH(Расходка[[#This Row],[№]],Поиск_расходки[Индекс9],0)),"")</f>
        <v>DES, Firehawk</v>
      </c>
      <c r="AA61" s="102" t="str">
        <f>IFERROR(INDEX(Расходка[Наименование расходного материала],MATCH(Расходка[[#This Row],[№]],Поиск_расходки[Индекс10],0)),"")</f>
        <v>DES, Firehawk</v>
      </c>
      <c r="AB61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1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1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61</v>
      </c>
      <c r="M62" s="103">
        <f>IF(ISNUMBER(SEARCH('Карта учёта'!$B$19,Расходка[[#This Row],[Наименование расходного материала]])),MAX($M$1:M61)+1,0)</f>
        <v>61</v>
      </c>
      <c r="N62" s="103">
        <f>IF(ISNUMBER(SEARCH('Карта учёта'!$B$20,Расходка[[#This Row],[Наименование расходного материала]])),MAX($N$1:N61)+1,0)</f>
        <v>61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>DES, Resolute Onyx</v>
      </c>
      <c r="Z62" s="102" t="str">
        <f>IFERROR(INDEX(Расходка[Наименование расходного материала],MATCH(Расходка[[#This Row],[№]],Поиск_расходки[Индекс9],0)),"")</f>
        <v>DES, Resolute Onyx</v>
      </c>
      <c r="AA62" s="102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517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62</v>
      </c>
      <c r="M63" s="103">
        <f>IF(ISNUMBER(SEARCH('Карта учёта'!$B$19,Расходка[[#This Row],[Наименование расходного материала]])),MAX($M$1:M62)+1,0)</f>
        <v>62</v>
      </c>
      <c r="N63" s="103">
        <f>IF(ISNUMBER(SEARCH('Карта учёта'!$B$20,Расходка[[#This Row],[Наименование расходного материала]])),MAX($N$1:N62)+1,0)</f>
        <v>62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>DES, Калипсо</v>
      </c>
      <c r="Z63" s="102" t="str">
        <f>IFERROR(INDEX(Расходка[Наименование расходного материала],MATCH(Расходка[[#This Row],[№]],Поиск_расходки[Индекс9],0)),"")</f>
        <v>DES, Калипсо</v>
      </c>
      <c r="AA63" s="102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518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63</v>
      </c>
      <c r="M64" s="103">
        <f>IF(ISNUMBER(SEARCH('Карта учёта'!$B$19,Расходка[[#This Row],[Наименование расходного материала]])),MAX($M$1:M63)+1,0)</f>
        <v>63</v>
      </c>
      <c r="N64" s="103">
        <f>IF(ISNUMBER(SEARCH('Карта учёта'!$B$20,Расходка[[#This Row],[Наименование расходного материала]])),MAX($N$1:N63)+1,0)</f>
        <v>63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>Meril Evermine50™</v>
      </c>
      <c r="Z64" s="102" t="str">
        <f>IFERROR(INDEX(Расходка[Наименование расходного материала],MATCH(Расходка[[#This Row],[№]],Поиск_расходки[Индекс9],0)),"")</f>
        <v>Meril Evermine50™</v>
      </c>
      <c r="AA64" s="102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530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0</v>
      </c>
      <c r="L65" s="103">
        <f>IF(ISNUMBER(SEARCH('Карта учёта'!$B$18,Расходка[[#This Row],[Наименование расходного материала]])),MAX($L$1:L64)+1,0)</f>
        <v>64</v>
      </c>
      <c r="M65" s="103">
        <f>IF(ISNUMBER(SEARCH('Карта учёта'!$B$19,Расходка[[#This Row],[Наименование расходного материала]])),MAX($M$1:M64)+1,0)</f>
        <v>64</v>
      </c>
      <c r="N65" s="103">
        <f>IF(ISNUMBER(SEARCH('Карта учёта'!$B$20,Расходка[[#This Row],[Наименование расходного материала]])),MAX($N$1:N64)+1,0)</f>
        <v>64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>Metafor</v>
      </c>
      <c r="Z65" s="102" t="str">
        <f>IFERROR(INDEX(Расходка[Наименование расходного материала],MATCH(Расходка[[#This Row],[№]],Поиск_расходки[Индекс9],0)),"")</f>
        <v>Metafor</v>
      </c>
      <c r="AA65" s="102" t="str">
        <f>IFERROR(INDEX(Расходка[Наименование расходного материала],MATCH(Расходка[[#This Row],[№]],Поиск_расходки[Индекс10],0)),"")</f>
        <v>Metafor</v>
      </c>
      <c r="AB65" s="102" t="str">
        <f>IFERROR(INDEX(Расходка[Наименование расходного материала],MATCH(Расходка[[#This Row],[№]],Поиск_расходки[Индекс11],0)),"")</f>
        <v>Metafor</v>
      </c>
      <c r="AC65" s="102" t="str">
        <f>IFERROR(INDEX(Расходка[Наименование расходного материала],MATCH(Расходка[[#This Row],[№]],Поиск_расходки[Индекс12],0)),"")</f>
        <v>Metafor</v>
      </c>
      <c r="AD65" s="102" t="str">
        <f>IFERROR(INDEX(Расходка[Наименование расходного материала],MATCH(Расходка[[#This Row],[№]],Поиск_расходки[Индекс13],0)),"")</f>
        <v>Metafor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325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65</v>
      </c>
      <c r="M66" s="103">
        <f>IF(ISNUMBER(SEARCH('Карта учёта'!$B$19,Расходка[[#This Row],[Наименование расходного материала]])),MAX($M$1:M65)+1,0)</f>
        <v>65</v>
      </c>
      <c r="N66" s="103">
        <f>IF(ISNUMBER(SEARCH('Карта учёта'!$B$20,Расходка[[#This Row],[Наименование расходного материала]])),MAX($N$1:N65)+1,0)</f>
        <v>65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>Guidezilla™ II 6F</v>
      </c>
      <c r="Z66" s="102" t="str">
        <f>IFERROR(INDEX(Расходка[Наименование расходного материала],MATCH(Расходка[[#This Row],[№]],Поиск_расходки[Индекс9],0)),"")</f>
        <v>Guidezilla™ II 6F</v>
      </c>
      <c r="AA66" s="102" t="str">
        <f>IFERROR(INDEX(Расходка[Наименование расходного материала],MATCH(Расходка[[#This Row],[№]],Поиск_расходки[Индекс10],0)),"")</f>
        <v>Guidezilla™ II 6F</v>
      </c>
      <c r="AB66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6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6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344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66</v>
      </c>
      <c r="M67" s="179">
        <f>IF(ISNUMBER(SEARCH('Карта учёта'!$B$19,Расходка[[#This Row],[Наименование расходного материала]])),MAX($M$1:M66)+1,0)</f>
        <v>66</v>
      </c>
      <c r="N67" s="179">
        <f>IF(ISNUMBER(SEARCH('Карта учёта'!$B$20,Расходка[[#This Row],[Наименование расходного материала]])),MAX($N$1:N66)+1,0)</f>
        <v>66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>Telescope ™ II 6F</v>
      </c>
      <c r="Z67" s="180" t="str">
        <f>IFERROR(INDEX(Расходка[Наименование расходного материала],MATCH(Расходка[[#This Row],[№]],Поиск_расходки[Индекс9],0)),"")</f>
        <v>Telescope ™ II 6F</v>
      </c>
      <c r="AA67" s="180" t="str">
        <f>IFERROR(INDEX(Расходка[Наименование расходного материала],MATCH(Расходка[[#This Row],[№]],Поиск_расходки[Индекс10],0)),"")</f>
        <v>Telescope ™ II 6F</v>
      </c>
      <c r="AB67" s="180" t="str">
        <f>IFERROR(INDEX(Расходка[Наименование расходного материала],MATCH(Расходка[[#This Row],[№]],Поиск_расходки[Индекс11],0)),"")</f>
        <v>Telescope ™ II 6F</v>
      </c>
      <c r="AC67" s="180" t="str">
        <f>IFERROR(INDEX(Расходка[Наименование расходного материала],MATCH(Расходка[[#This Row],[№]],Поиск_расходки[Индекс12],0)),"")</f>
        <v>Telescope ™ II 6F</v>
      </c>
      <c r="AD67" s="180" t="str">
        <f>IFERROR(INDEX(Расходка[Наименование расходного материала],MATCH(Расходка[[#This Row],[№]],Поиск_расходки[Индекс13],0)),"")</f>
        <v>Telescope ™ II 6F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351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67</v>
      </c>
      <c r="M68" s="179">
        <f>IF(ISNUMBER(SEARCH('Карта учёта'!$B$19,Расходка[[#This Row],[Наименование расходного материала]])),MAX($M$1:M67)+1,0)</f>
        <v>67</v>
      </c>
      <c r="N68" s="179">
        <f>IF(ISNUMBER(SEARCH('Карта учёта'!$B$20,Расходка[[#This Row],[Наименование расходного материала]])),MAX($N$1:N67)+1,0)</f>
        <v>67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>Launcher 6F AL 1</v>
      </c>
      <c r="Z68" s="180" t="str">
        <f>IFERROR(INDEX(Расходка[Наименование расходного материала],MATCH(Расходка[[#This Row],[№]],Поиск_расходки[Индекс9],0)),"")</f>
        <v>Launcher 6F AL 1</v>
      </c>
      <c r="AA68" s="180" t="str">
        <f>IFERROR(INDEX(Расходка[Наименование расходного материала],MATCH(Расходка[[#This Row],[№]],Поиск_расходки[Индекс10],0)),"")</f>
        <v>Launcher 6F AL 1</v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352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0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68</v>
      </c>
      <c r="M69" s="179">
        <f>IF(ISNUMBER(SEARCH('Карта учёта'!$B$19,Расходка[[#This Row],[Наименование расходного материала]])),MAX($M$1:M68)+1,0)</f>
        <v>68</v>
      </c>
      <c r="N69" s="179">
        <f>IF(ISNUMBER(SEARCH('Карта учёта'!$B$20,Расходка[[#This Row],[Наименование расходного материала]])),MAX($N$1:N68)+1,0)</f>
        <v>68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>Launcher 6F AL 2</v>
      </c>
      <c r="Z69" s="180" t="str">
        <f>IFERROR(INDEX(Расходка[Наименование расходного материала],MATCH(Расходка[[#This Row],[№]],Поиск_расходки[Индекс9],0)),"")</f>
        <v>Launcher 6F AL 2</v>
      </c>
      <c r="AA69" s="180" t="str">
        <f>IFERROR(INDEX(Расходка[Наименование расходного материала],MATCH(Расходка[[#This Row],[№]],Поиск_расходки[Индекс10],0)),"")</f>
        <v>Launcher 6F AL 2</v>
      </c>
      <c r="AB69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326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0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69</v>
      </c>
      <c r="M70" s="179">
        <f>IF(ISNUMBER(SEARCH('Карта учёта'!$B$19,Расходка[[#This Row],[Наименование расходного материала]])),MAX($M$1:M69)+1,0)</f>
        <v>69</v>
      </c>
      <c r="N70" s="179">
        <f>IF(ISNUMBER(SEARCH('Карта учёта'!$B$20,Расходка[[#This Row],[Наименование расходного материала]])),MAX($N$1:N69)+1,0)</f>
        <v>69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>Launcher 6F EBU 3.5</v>
      </c>
      <c r="Z70" s="180" t="str">
        <f>IFERROR(INDEX(Расходка[Наименование расходного материала],MATCH(Расходка[[#This Row],[№]],Поиск_расходки[Индекс9],0)),"")</f>
        <v>Launcher 6F EBU 3.5</v>
      </c>
      <c r="AA70" s="180" t="str">
        <f>IFERROR(INDEX(Расходка[Наименование расходного материала],MATCH(Расходка[[#This Row],[№]],Поиск_расходки[Индекс10],0)),"")</f>
        <v>Launcher 6F EBU 3.5</v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327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70</v>
      </c>
      <c r="M71" s="179">
        <f>IF(ISNUMBER(SEARCH('Карта учёта'!$B$19,Расходка[[#This Row],[Наименование расходного материала]])),MAX($M$1:M70)+1,0)</f>
        <v>70</v>
      </c>
      <c r="N71" s="179">
        <f>IF(ISNUMBER(SEARCH('Карта учёта'!$B$20,Расходка[[#This Row],[Наименование расходного материала]])),MAX($N$1:N70)+1,0)</f>
        <v>70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>Launcher 6F EBU 4.0</v>
      </c>
      <c r="Z71" s="180" t="str">
        <f>IFERROR(INDEX(Расходка[Наименование расходного материала],MATCH(Расходка[[#This Row],[№]],Поиск_расходки[Индекс9],0)),"")</f>
        <v>Launcher 6F EBU 4.0</v>
      </c>
      <c r="AA71" s="180" t="str">
        <f>IFERROR(INDEX(Расходка[Наименование расходного материала],MATCH(Расходка[[#This Row],[№]],Поиск_расходки[Индекс10],0)),"")</f>
        <v>Launcher 6F EBU 4.0</v>
      </c>
      <c r="AB71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328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0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71</v>
      </c>
      <c r="M72" s="179">
        <f>IF(ISNUMBER(SEARCH('Карта учёта'!$B$19,Расходка[[#This Row],[Наименование расходного материала]])),MAX($M$1:M71)+1,0)</f>
        <v>71</v>
      </c>
      <c r="N72" s="179">
        <f>IF(ISNUMBER(SEARCH('Карта учёта'!$B$20,Расходка[[#This Row],[Наименование расходного материала]])),MAX($N$1:N71)+1,0)</f>
        <v>71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>Launcher 6F JL 3.5</v>
      </c>
      <c r="Z72" s="180" t="str">
        <f>IFERROR(INDEX(Расходка[Наименование расходного материала],MATCH(Расходка[[#This Row],[№]],Поиск_расходки[Индекс9],0)),"")</f>
        <v>Launcher 6F JL 3.5</v>
      </c>
      <c r="AA72" s="180" t="str">
        <f>IFERROR(INDEX(Расходка[Наименование расходного материала],MATCH(Расходка[[#This Row],[№]],Поиск_расходки[Индекс10],0)),"")</f>
        <v>Launcher 6F JL 3.5</v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329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72</v>
      </c>
      <c r="M73" s="179">
        <f>IF(ISNUMBER(SEARCH('Карта учёта'!$B$19,Расходка[[#This Row],[Наименование расходного материала]])),MAX($M$1:M72)+1,0)</f>
        <v>72</v>
      </c>
      <c r="N73" s="179">
        <f>IF(ISNUMBER(SEARCH('Карта учёта'!$B$20,Расходка[[#This Row],[Наименование расходного материала]])),MAX($N$1:N72)+1,0)</f>
        <v>72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>Launcher 6F JL 4.0</v>
      </c>
      <c r="Z73" s="180" t="str">
        <f>IFERROR(INDEX(Расходка[Наименование расходного материала],MATCH(Расходка[[#This Row],[№]],Поиск_расходки[Индекс9],0)),"")</f>
        <v>Launcher 6F JL 4.0</v>
      </c>
      <c r="AA73" s="180" t="str">
        <f>IFERROR(INDEX(Расходка[Наименование расходного материала],MATCH(Расходка[[#This Row],[№]],Поиск_расходки[Индекс10],0)),"")</f>
        <v>Launcher 6F JL 4.0</v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335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73</v>
      </c>
      <c r="M74" s="179">
        <f>IF(ISNUMBER(SEARCH('Карта учёта'!$B$19,Расходка[[#This Row],[Наименование расходного материала]])),MAX($M$1:M73)+1,0)</f>
        <v>73</v>
      </c>
      <c r="N74" s="179">
        <f>IF(ISNUMBER(SEARCH('Карта учёта'!$B$20,Расходка[[#This Row],[Наименование расходного материала]])),MAX($N$1:N73)+1,0)</f>
        <v>73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>Launcher 6F JL 4.5</v>
      </c>
      <c r="Z74" s="180" t="str">
        <f>IFERROR(INDEX(Расходка[Наименование расходного материала],MATCH(Расходка[[#This Row],[№]],Поиск_расходки[Индекс9],0)),"")</f>
        <v>Launcher 6F JL 4.5</v>
      </c>
      <c r="AA74" s="180" t="str">
        <f>IFERROR(INDEX(Расходка[Наименование расходного материала],MATCH(Расходка[[#This Row],[№]],Поиск_расходки[Индекс10],0)),"")</f>
        <v>Launcher 6F JL 4.5</v>
      </c>
      <c r="AB74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330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1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74</v>
      </c>
      <c r="M75" s="179">
        <f>IF(ISNUMBER(SEARCH('Карта учёта'!$B$19,Расходка[[#This Row],[Наименование расходного материала]])),MAX($M$1:M74)+1,0)</f>
        <v>74</v>
      </c>
      <c r="N75" s="179">
        <f>IF(ISNUMBER(SEARCH('Карта учёта'!$B$20,Расходка[[#This Row],[Наименование расходного материала]])),MAX($N$1:N74)+1,0)</f>
        <v>74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>Launcher 6F JR 3.5</v>
      </c>
      <c r="Z75" s="180" t="str">
        <f>IFERROR(INDEX(Расходка[Наименование расходного материала],MATCH(Расходка[[#This Row],[№]],Поиск_расходки[Индекс9],0)),"")</f>
        <v>Launcher 6F JR 3.5</v>
      </c>
      <c r="AA75" s="180" t="str">
        <f>IFERROR(INDEX(Расходка[Наименование расходного материала],MATCH(Расходка[[#This Row],[№]],Поиск_расходки[Индекс10],0)),"")</f>
        <v>Launcher 6F JR 3.5</v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0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75</v>
      </c>
      <c r="M76" s="179">
        <f>IF(ISNUMBER(SEARCH('Карта учёта'!$B$19,Расходка[[#This Row],[Наименование расходного материала]])),MAX($M$1:M75)+1,0)</f>
        <v>75</v>
      </c>
      <c r="N76" s="179">
        <f>IF(ISNUMBER(SEARCH('Карта учёта'!$B$20,Расходка[[#This Row],[Наименование расходного материала]])),MAX($N$1:N75)+1,0)</f>
        <v>75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>Launcher 6F JR 4.0</v>
      </c>
      <c r="Z76" s="180" t="str">
        <f>IFERROR(INDEX(Расходка[Наименование расходного материала],MATCH(Расходка[[#This Row],[№]],Поиск_расходки[Индекс9],0)),"")</f>
        <v>Launcher 6F JR 4.0</v>
      </c>
      <c r="AA76" s="180" t="str">
        <f>IFERROR(INDEX(Расходка[Наименование расходного материала],MATCH(Расходка[[#This Row],[№]],Поиск_расходки[Индекс10],0)),"")</f>
        <v>Launcher 6F JR 4.0</v>
      </c>
      <c r="AB76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6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6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341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76</v>
      </c>
      <c r="M77" s="179">
        <f>IF(ISNUMBER(SEARCH('Карта учёта'!$B$19,Расходка[[#This Row],[Наименование расходного материала]])),MAX($M$1:M76)+1,0)</f>
        <v>76</v>
      </c>
      <c r="N77" s="179">
        <f>IF(ISNUMBER(SEARCH('Карта учёта'!$B$20,Расходка[[#This Row],[Наименование расходного материала]])),MAX($N$1:N76)+1,0)</f>
        <v>76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>Launcher 7F JL 3.5</v>
      </c>
      <c r="Z77" s="180" t="str">
        <f>IFERROR(INDEX(Расходка[Наименование расходного материала],MATCH(Расходка[[#This Row],[№]],Поиск_расходки[Индекс9],0)),"")</f>
        <v>Launcher 7F JL 3.5</v>
      </c>
      <c r="AA77" s="180" t="str">
        <f>IFERROR(INDEX(Расходка[Наименование расходного материала],MATCH(Расходка[[#This Row],[№]],Поиск_расходки[Индекс10],0)),"")</f>
        <v>Launcher 7F JL 3.5</v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340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77</v>
      </c>
      <c r="M78" s="179">
        <f>IF(ISNUMBER(SEARCH('Карта учёта'!$B$19,Расходка[[#This Row],[Наименование расходного материала]])),MAX($M$1:M77)+1,0)</f>
        <v>77</v>
      </c>
      <c r="N78" s="179">
        <f>IF(ISNUMBER(SEARCH('Карта учёта'!$B$20,Расходка[[#This Row],[Наименование расходного материала]])),MAX($N$1:N77)+1,0)</f>
        <v>77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>Launcher 7F JL 4.0</v>
      </c>
      <c r="Z78" s="180" t="str">
        <f>IFERROR(INDEX(Расходка[Наименование расходного материала],MATCH(Расходка[[#This Row],[№]],Поиск_расходки[Индекс9],0)),"")</f>
        <v>Launcher 7F JL 4.0</v>
      </c>
      <c r="AA78" s="180" t="str">
        <f>IFERROR(INDEX(Расходка[Наименование расходного материала],MATCH(Расходка[[#This Row],[№]],Поиск_расходки[Индекс10],0)),"")</f>
        <v>Launcher 7F JL 4.0</v>
      </c>
      <c r="AB78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8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8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8" s="4" t="s">
        <v>6</v>
      </c>
      <c r="AG78" s="4" t="s">
        <v>469</v>
      </c>
    </row>
    <row r="79" spans="1:33">
      <c r="A79">
        <f>ROW(Расходка[[#This Row],[Тип расходного материала ]])-1</f>
        <v>78</v>
      </c>
      <c r="B79" t="s">
        <v>301</v>
      </c>
      <c r="C79" s="1" t="s">
        <v>332</v>
      </c>
      <c r="E79" s="179">
        <f>IF(ISNUMBER(SEARCH('Карта учёта'!$B$13,Расходка[[#This Row],[Наименование расходного материала]])),MAX($E$1:E78)+1,0)</f>
        <v>0</v>
      </c>
      <c r="F79" s="179">
        <f>IF(ISNUMBER(SEARCH('Карта учёта'!$B$14,Расходка[[#This Row],[Наименование расходного материала]])),MAX($F$1:F78)+1,0)</f>
        <v>0</v>
      </c>
      <c r="G79" s="179">
        <f>IF(ISNUMBER(SEARCH('Карта учёта'!$B$15,Расходка[[#This Row],[Наименование расходного материала]])),MAX($G$1:G78)+1,0)</f>
        <v>0</v>
      </c>
      <c r="H79" s="179">
        <f>IF(ISNUMBER(SEARCH('Карта учёта'!#REF!,Расходка[[#This Row],[Наименование расходного материала]])),MAX($H$1:H78)+1,0)</f>
        <v>0</v>
      </c>
      <c r="I79" s="179">
        <f>IF(ISNUMBER(SEARCH('Карта учёта'!#REF!,Расходка[[#This Row],[Наименование расходного материала]])),MAX($I$1:I78)+1,0)</f>
        <v>0</v>
      </c>
      <c r="J79" s="179">
        <f>IF(ISNUMBER(SEARCH('Карта учёта'!$B$16,Расходка[[#This Row],[Наименование расходного материала]])),MAX($J$1:J78)+1,0)</f>
        <v>0</v>
      </c>
      <c r="K79" s="179">
        <f>IF(ISNUMBER(SEARCH('Карта учёта'!$B$17,Расходка[[#This Row],[Наименование расходного материала]])),MAX($K$1:K78)+1,0)</f>
        <v>0</v>
      </c>
      <c r="L79" s="179">
        <f>IF(ISNUMBER(SEARCH('Карта учёта'!$B$18,Расходка[[#This Row],[Наименование расходного материала]])),MAX($L$1:L78)+1,0)</f>
        <v>78</v>
      </c>
      <c r="M79" s="179">
        <f>IF(ISNUMBER(SEARCH('Карта учёта'!$B$19,Расходка[[#This Row],[Наименование расходного материала]])),MAX($M$1:M78)+1,0)</f>
        <v>78</v>
      </c>
      <c r="N79" s="179">
        <f>IF(ISNUMBER(SEARCH('Карта учёта'!$B$20,Расходка[[#This Row],[Наименование расходного материала]])),MAX($N$1:N78)+1,0)</f>
        <v>78</v>
      </c>
      <c r="O79" s="179">
        <f>IF(ISNUMBER(SEARCH('Карта учёта'!$B$21,Расходка[[#This Row],[Наименование расходного материала]])),MAX($O$1:O78)+1,0)</f>
        <v>78</v>
      </c>
      <c r="P79" s="179">
        <f>IF(ISNUMBER(SEARCH('Карта учёта'!$B$22,Расходка[[#This Row],[Наименование расходного материала]])),MAX($P$1:P78)+1,0)</f>
        <v>78</v>
      </c>
      <c r="Q79" s="179">
        <f>IF(ISNUMBER(SEARCH('Карта учёта'!$B$23,Расходка[[#This Row],[Наименование расходного материала]])),MAX($Q$1:Q78)+1,0)</f>
        <v>78</v>
      </c>
      <c r="R79" s="180" t="str">
        <f>IFERROR(INDEX(Расходка[Наименование расходного материала],MATCH(Расходка[[#This Row],[№]],Поиск_расходки[Индекс1],0)),"")</f>
        <v/>
      </c>
      <c r="S79" s="180" t="str">
        <f>IFERROR(INDEX(Расходка[Наименование расходного материала],MATCH(Расходка[[#This Row],[№]],Поиск_расходки[Индекс2],0)),"")</f>
        <v/>
      </c>
      <c r="T79" s="180" t="str">
        <f>IFERROR(INDEX(Расходка[Наименование расходного материала],MATCH(Расходка[[#This Row],[№]],Поиск_расходки[Индекс3],0)),"")</f>
        <v/>
      </c>
      <c r="U79" s="180" t="str">
        <f>IFERROR(INDEX(Расходка[Наименование расходного материала],MATCH(Расходка[[#This Row],[№]],Поиск_расходки[Индекс4],0)),"")</f>
        <v/>
      </c>
      <c r="V79" s="180" t="str">
        <f>IFERROR(INDEX(Расходка[Наименование расходного материала],MATCH(Расходка[[#This Row],[№]],Поиск_расходки[Индекс5],0)),"")</f>
        <v/>
      </c>
      <c r="W79" s="180" t="str">
        <f>IFERROR(INDEX(Расходка[Наименование расходного материала],MATCH(Расходка[[#This Row],[№]],Поиск_расходки[Индекс6],0)),"")</f>
        <v/>
      </c>
      <c r="X79" s="180" t="str">
        <f>IFERROR(INDEX(Расходка[Наименование расходного материала],MATCH(Расходка[[#This Row],[№]],Поиск_расходки[Индекс7],0)),"")</f>
        <v/>
      </c>
      <c r="Y79" s="180" t="str">
        <f>IFERROR(INDEX(Расходка[Наименование расходного материала],MATCH(Расходка[[#This Row],[№]],Поиск_расходки[Индекс8],0)),"")</f>
        <v>Angio-Seal™ VIP</v>
      </c>
      <c r="Z79" s="180" t="str">
        <f>IFERROR(INDEX(Расходка[Наименование расходного материала],MATCH(Расходка[[#This Row],[№]],Поиск_расходки[Индекс9],0)),"")</f>
        <v>Angio-Seal™ VIP</v>
      </c>
      <c r="AA79" s="180" t="str">
        <f>IFERROR(INDEX(Расходка[Наименование расходного материала],MATCH(Расходка[[#This Row],[№]],Поиск_расходки[Индекс10],0)),"")</f>
        <v>Angio-Seal™ VIP</v>
      </c>
      <c r="AB79" s="180" t="str">
        <f>IFERROR(INDEX(Расходка[Наименование расходного материала],MATCH(Расходка[[#This Row],[№]],Поиск_расходки[Индекс11],0)),"")</f>
        <v>Angio-Seal™ VIP</v>
      </c>
      <c r="AC79" s="180" t="str">
        <f>IFERROR(INDEX(Расходка[Наименование расходного материала],MATCH(Расходка[[#This Row],[№]],Поиск_расходки[Индекс12],0)),"")</f>
        <v>Angio-Seal™ VIP</v>
      </c>
      <c r="AD79" s="180" t="str">
        <f>IFERROR(INDEX(Расходка[Наименование расходного материала],MATCH(Расходка[[#This Row],[№]],Поиск_расходки[Индекс13],0)),"")</f>
        <v>Angio-Seal™ VIP</v>
      </c>
      <c r="AF79" s="4" t="s">
        <v>6</v>
      </c>
      <c r="AG79" s="4" t="s">
        <v>470</v>
      </c>
    </row>
    <row r="80" spans="1:33">
      <c r="E80" s="179">
        <f>IF(ISNUMBER(SEARCH('Карта учёта'!$B$13,Расходка[[#This Row],[Наименование расходного материала]])),MAX($E$1:E79)+1,0)</f>
        <v>0</v>
      </c>
      <c r="F80" s="179">
        <f>IF(ISNUMBER(SEARCH('Карта учёта'!$B$14,Расходка[[#This Row],[Наименование расходного материала]])),MAX($F$1:F79)+1,0)</f>
        <v>0</v>
      </c>
      <c r="G80" s="179">
        <f>IF(ISNUMBER(SEARCH('Карта учёта'!$B$15,Расходка[[#This Row],[Наименование расходного материала]])),MAX($G$1:G79)+1,0)</f>
        <v>0</v>
      </c>
      <c r="H80" s="179">
        <f>IF(ISNUMBER(SEARCH('Карта учёта'!#REF!,Расходка[[#This Row],[Наименование расходного материала]])),MAX($H$1:H79)+1,0)</f>
        <v>0</v>
      </c>
      <c r="I80" s="179">
        <f>IF(ISNUMBER(SEARCH('Карта учёта'!#REF!,Расходка[[#This Row],[Наименование расходного материала]])),MAX($I$1:I79)+1,0)</f>
        <v>0</v>
      </c>
      <c r="J80" s="179">
        <f>IF(ISNUMBER(SEARCH('Карта учёта'!$B$16,Расходка[[#This Row],[Наименование расходного материала]])),MAX($J$1:J79)+1,0)</f>
        <v>0</v>
      </c>
      <c r="K80" s="179">
        <f>IF(ISNUMBER(SEARCH('Карта учёта'!$B$17,Расходка[[#This Row],[Наименование расходного материала]])),MAX($K$1:K79)+1,0)</f>
        <v>0</v>
      </c>
      <c r="L80" s="179">
        <f>IF(ISNUMBER(SEARCH('Карта учёта'!$B$18,Расходка[[#This Row],[Наименование расходного материала]])),MAX($L$1:L79)+1,0)</f>
        <v>0</v>
      </c>
      <c r="M80" s="179">
        <f>IF(ISNUMBER(SEARCH('Карта учёта'!$B$19,Расходка[[#This Row],[Наименование расходного материала]])),MAX($M$1:M79)+1,0)</f>
        <v>0</v>
      </c>
      <c r="N80" s="179">
        <f>IF(ISNUMBER(SEARCH('Карта учёта'!$B$20,Расходка[[#This Row],[Наименование расходного материала]])),MAX($N$1:N79)+1,0)</f>
        <v>0</v>
      </c>
      <c r="O80" s="179">
        <f>IF(ISNUMBER(SEARCH('Карта учёта'!$B$21,Расходка[[#This Row],[Наименование расходного материала]])),MAX($O$1:O79)+1,0)</f>
        <v>0</v>
      </c>
      <c r="P80" s="179">
        <f>IF(ISNUMBER(SEARCH('Карта учёта'!$B$22,Расходка[[#This Row],[Наименование расходного материала]])),MAX($P$1:P79)+1,0)</f>
        <v>0</v>
      </c>
      <c r="Q80" s="179">
        <f>IF(ISNUMBER(SEARCH('Карта учёта'!$B$23,Расходка[[#This Row],[Наименование расходного материала]])),MAX($Q$1:Q79)+1,0)</f>
        <v>0</v>
      </c>
      <c r="R80" s="180" t="str">
        <f>IFERROR(INDEX(Расходка[Наименование расходного материала],MATCH(Расходка[[#This Row],[№]],Поиск_расходки[Индекс1],0)),"")</f>
        <v/>
      </c>
      <c r="S80" s="180" t="str">
        <f>IFERROR(INDEX(Расходка[Наименование расходного материала],MATCH(Расходка[[#This Row],[№]],Поиск_расходки[Индекс2],0)),"")</f>
        <v/>
      </c>
      <c r="T80" s="180" t="str">
        <f>IFERROR(INDEX(Расходка[Наименование расходного материала],MATCH(Расходка[[#This Row],[№]],Поиск_расходки[Индекс3],0)),"")</f>
        <v/>
      </c>
      <c r="U80" s="180" t="str">
        <f>IFERROR(INDEX(Расходка[Наименование расходного материала],MATCH(Расходка[[#This Row],[№]],Поиск_расходки[Индекс4],0)),"")</f>
        <v/>
      </c>
      <c r="V80" s="180" t="str">
        <f>IFERROR(INDEX(Расходка[Наименование расходного материала],MATCH(Расходка[[#This Row],[№]],Поиск_расходки[Индекс5],0)),"")</f>
        <v/>
      </c>
      <c r="W80" s="180" t="str">
        <f>IFERROR(INDEX(Расходка[Наименование расходного материала],MATCH(Расходка[[#This Row],[№]],Поиск_расходки[Индекс6],0)),"")</f>
        <v/>
      </c>
      <c r="X80" s="180" t="str">
        <f>IFERROR(INDEX(Расходка[Наименование расходного материала],MATCH(Расходка[[#This Row],[№]],Поиск_расходки[Индекс7],0)),"")</f>
        <v/>
      </c>
      <c r="Y80" s="180" t="str">
        <f>IFERROR(INDEX(Расходка[Наименование расходного материала],MATCH(Расходка[[#This Row],[№]],Поиск_расходки[Индекс8],0)),"")</f>
        <v/>
      </c>
      <c r="Z80" s="180" t="str">
        <f>IFERROR(INDEX(Расходка[Наименование расходного материала],MATCH(Расходка[[#This Row],[№]],Поиск_расходки[Индекс9],0)),"")</f>
        <v/>
      </c>
      <c r="AA80" s="180" t="str">
        <f>IFERROR(INDEX(Расходка[Наименование расходного материала],MATCH(Расходка[[#This Row],[№]],Поиск_расходки[Индекс10],0)),"")</f>
        <v/>
      </c>
      <c r="AB80" s="180" t="str">
        <f>IFERROR(INDEX(Расходка[Наименование расходного материала],MATCH(Расходка[[#This Row],[№]],Поиск_расходки[Индекс11],0)),"")</f>
        <v/>
      </c>
      <c r="AC80" s="180" t="str">
        <f>IFERROR(INDEX(Расходка[Наименование расходного материала],MATCH(Расходка[[#This Row],[№]],Поиск_расходки[Индекс12],0)),"")</f>
        <v/>
      </c>
      <c r="AD80" s="180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471</v>
      </c>
    </row>
    <row r="81" spans="5:33">
      <c r="E81" s="179">
        <f>IF(ISNUMBER(SEARCH('Карта учёта'!$B$13,Расходка[[#This Row],[Наименование расходного материала]])),MAX($E$1:E80)+1,0)</f>
        <v>0</v>
      </c>
      <c r="F81" s="179">
        <f>IF(ISNUMBER(SEARCH('Карта учёта'!$B$14,Расходка[[#This Row],[Наименование расходного материала]])),MAX($F$1:F80)+1,0)</f>
        <v>0</v>
      </c>
      <c r="G81" s="179">
        <f>IF(ISNUMBER(SEARCH('Карта учёта'!$B$15,Расходка[[#This Row],[Наименование расходного материала]])),MAX($G$1:G80)+1,0)</f>
        <v>0</v>
      </c>
      <c r="H81" s="179">
        <f>IF(ISNUMBER(SEARCH('Карта учёта'!#REF!,Расходка[[#This Row],[Наименование расходного материала]])),MAX($H$1:H80)+1,0)</f>
        <v>0</v>
      </c>
      <c r="I81" s="179">
        <f>IF(ISNUMBER(SEARCH('Карта учёта'!#REF!,Расходка[[#This Row],[Наименование расходного материала]])),MAX($I$1:I80)+1,0)</f>
        <v>0</v>
      </c>
      <c r="J81" s="179">
        <f>IF(ISNUMBER(SEARCH('Карта учёта'!$B$16,Расходка[[#This Row],[Наименование расходного материала]])),MAX($J$1:J80)+1,0)</f>
        <v>0</v>
      </c>
      <c r="K81" s="179">
        <f>IF(ISNUMBER(SEARCH('Карта учёта'!$B$17,Расходка[[#This Row],[Наименование расходного материала]])),MAX($K$1:K80)+1,0)</f>
        <v>0</v>
      </c>
      <c r="L81" s="179">
        <f>IF(ISNUMBER(SEARCH('Карта учёта'!$B$18,Расходка[[#This Row],[Наименование расходного материала]])),MAX($L$1:L80)+1,0)</f>
        <v>0</v>
      </c>
      <c r="M81" s="179">
        <f>IF(ISNUMBER(SEARCH('Карта учёта'!$B$19,Расходка[[#This Row],[Наименование расходного материала]])),MAX($M$1:M80)+1,0)</f>
        <v>0</v>
      </c>
      <c r="N81" s="179">
        <f>IF(ISNUMBER(SEARCH('Карта учёта'!$B$20,Расходка[[#This Row],[Наименование расходного материала]])),MAX($N$1:N80)+1,0)</f>
        <v>0</v>
      </c>
      <c r="O81" s="179">
        <f>IF(ISNUMBER(SEARCH('Карта учёта'!$B$21,Расходка[[#This Row],[Наименование расходного материала]])),MAX($O$1:O80)+1,0)</f>
        <v>0</v>
      </c>
      <c r="P81" s="179">
        <f>IF(ISNUMBER(SEARCH('Карта учёта'!$B$22,Расходка[[#This Row],[Наименование расходного материала]])),MAX($P$1:P80)+1,0)</f>
        <v>0</v>
      </c>
      <c r="Q81" s="179">
        <f>IF(ISNUMBER(SEARCH('Карта учёта'!$B$23,Расходка[[#This Row],[Наименование расходного материала]])),MAX($Q$1:Q80)+1,0)</f>
        <v>0</v>
      </c>
      <c r="R81" s="180" t="str">
        <f>IFERROR(INDEX(Расходка[Наименование расходного материала],MATCH(Расходка[[#This Row],[№]],Поиск_расходки[Индекс1],0)),"")</f>
        <v/>
      </c>
      <c r="S81" s="180" t="str">
        <f>IFERROR(INDEX(Расходка[Наименование расходного материала],MATCH(Расходка[[#This Row],[№]],Поиск_расходки[Индекс2],0)),"")</f>
        <v/>
      </c>
      <c r="T81" s="180" t="str">
        <f>IFERROR(INDEX(Расходка[Наименование расходного материала],MATCH(Расходка[[#This Row],[№]],Поиск_расходки[Индекс3],0)),"")</f>
        <v/>
      </c>
      <c r="U81" s="180" t="str">
        <f>IFERROR(INDEX(Расходка[Наименование расходного материала],MATCH(Расходка[[#This Row],[№]],Поиск_расходки[Индекс4],0)),"")</f>
        <v/>
      </c>
      <c r="V81" s="180" t="str">
        <f>IFERROR(INDEX(Расходка[Наименование расходного материала],MATCH(Расходка[[#This Row],[№]],Поиск_расходки[Индекс5],0)),"")</f>
        <v/>
      </c>
      <c r="W81" s="180" t="str">
        <f>IFERROR(INDEX(Расходка[Наименование расходного материала],MATCH(Расходка[[#This Row],[№]],Поиск_расходки[Индекс6],0)),"")</f>
        <v/>
      </c>
      <c r="X81" s="180" t="str">
        <f>IFERROR(INDEX(Расходка[Наименование расходного материала],MATCH(Расходка[[#This Row],[№]],Поиск_расходки[Индекс7],0)),"")</f>
        <v/>
      </c>
      <c r="Y81" s="180" t="str">
        <f>IFERROR(INDEX(Расходка[Наименование расходного материала],MATCH(Расходка[[#This Row],[№]],Поиск_расходки[Индекс8],0)),"")</f>
        <v/>
      </c>
      <c r="Z81" s="180" t="str">
        <f>IFERROR(INDEX(Расходка[Наименование расходного материала],MATCH(Расходка[[#This Row],[№]],Поиск_расходки[Индекс9],0)),"")</f>
        <v/>
      </c>
      <c r="AA81" s="180" t="str">
        <f>IFERROR(INDEX(Расходка[Наименование расходного материала],MATCH(Расходка[[#This Row],[№]],Поиск_расходки[Индекс10],0)),"")</f>
        <v/>
      </c>
      <c r="AB81" s="180" t="str">
        <f>IFERROR(INDEX(Расходка[Наименование расходного материала],MATCH(Расходка[[#This Row],[№]],Поиск_расходки[Индекс11],0)),"")</f>
        <v/>
      </c>
      <c r="AC81" s="180" t="str">
        <f>IFERROR(INDEX(Расходка[Наименование расходного материала],MATCH(Расходка[[#This Row],[№]],Поиск_расходки[Индекс12],0)),"")</f>
        <v/>
      </c>
      <c r="AD81" s="180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472</v>
      </c>
    </row>
    <row r="82" spans="5:33">
      <c r="E82" s="179">
        <f>IF(ISNUMBER(SEARCH('Карта учёта'!$B$13,Расходка[[#This Row],[Наименование расходного материала]])),MAX($E$1:E81)+1,0)</f>
        <v>0</v>
      </c>
      <c r="F82" s="179">
        <f>IF(ISNUMBER(SEARCH('Карта учёта'!$B$14,Расходка[[#This Row],[Наименование расходного материала]])),MAX($F$1:F81)+1,0)</f>
        <v>0</v>
      </c>
      <c r="G82" s="179">
        <f>IF(ISNUMBER(SEARCH('Карта учёта'!$B$15,Расходка[[#This Row],[Наименование расходного материала]])),MAX($G$1:G81)+1,0)</f>
        <v>0</v>
      </c>
      <c r="H82" s="179">
        <f>IF(ISNUMBER(SEARCH('Карта учёта'!#REF!,Расходка[[#This Row],[Наименование расходного материала]])),MAX($H$1:H81)+1,0)</f>
        <v>0</v>
      </c>
      <c r="I82" s="179">
        <f>IF(ISNUMBER(SEARCH('Карта учёта'!#REF!,Расходка[[#This Row],[Наименование расходного материала]])),MAX($I$1:I81)+1,0)</f>
        <v>0</v>
      </c>
      <c r="J82" s="179">
        <f>IF(ISNUMBER(SEARCH('Карта учёта'!$B$16,Расходка[[#This Row],[Наименование расходного материала]])),MAX($J$1:J81)+1,0)</f>
        <v>0</v>
      </c>
      <c r="K82" s="179">
        <f>IF(ISNUMBER(SEARCH('Карта учёта'!$B$17,Расходка[[#This Row],[Наименование расходного материала]])),MAX($K$1:K81)+1,0)</f>
        <v>0</v>
      </c>
      <c r="L82" s="179">
        <f>IF(ISNUMBER(SEARCH('Карта учёта'!$B$18,Расходка[[#This Row],[Наименование расходного материала]])),MAX($L$1:L81)+1,0)</f>
        <v>0</v>
      </c>
      <c r="M82" s="179">
        <f>IF(ISNUMBER(SEARCH('Карта учёта'!$B$19,Расходка[[#This Row],[Наименование расходного материала]])),MAX($M$1:M81)+1,0)</f>
        <v>0</v>
      </c>
      <c r="N82" s="179">
        <f>IF(ISNUMBER(SEARCH('Карта учёта'!$B$20,Расходка[[#This Row],[Наименование расходного материала]])),MAX($N$1:N81)+1,0)</f>
        <v>0</v>
      </c>
      <c r="O82" s="179">
        <f>IF(ISNUMBER(SEARCH('Карта учёта'!$B$21,Расходка[[#This Row],[Наименование расходного материала]])),MAX($O$1:O81)+1,0)</f>
        <v>0</v>
      </c>
      <c r="P82" s="179">
        <f>IF(ISNUMBER(SEARCH('Карта учёта'!$B$22,Расходка[[#This Row],[Наименование расходного материала]])),MAX($P$1:P81)+1,0)</f>
        <v>0</v>
      </c>
      <c r="Q82" s="179">
        <f>IF(ISNUMBER(SEARCH('Карта учёта'!$B$23,Расходка[[#This Row],[Наименование расходного материала]])),MAX($Q$1:Q81)+1,0)</f>
        <v>0</v>
      </c>
      <c r="R82" s="180" t="str">
        <f>IFERROR(INDEX(Расходка[Наименование расходного материала],MATCH(Расходка[[#This Row],[№]],Поиск_расходки[Индекс1],0)),"")</f>
        <v/>
      </c>
      <c r="S82" s="180" t="str">
        <f>IFERROR(INDEX(Расходка[Наименование расходного материала],MATCH(Расходка[[#This Row],[№]],Поиск_расходки[Индекс2],0)),"")</f>
        <v/>
      </c>
      <c r="T82" s="180" t="str">
        <f>IFERROR(INDEX(Расходка[Наименование расходного материала],MATCH(Расходка[[#This Row],[№]],Поиск_расходки[Индекс3],0)),"")</f>
        <v/>
      </c>
      <c r="U82" s="180" t="str">
        <f>IFERROR(INDEX(Расходка[Наименование расходного материала],MATCH(Расходка[[#This Row],[№]],Поиск_расходки[Индекс4],0)),"")</f>
        <v/>
      </c>
      <c r="V82" s="180" t="str">
        <f>IFERROR(INDEX(Расходка[Наименование расходного материала],MATCH(Расходка[[#This Row],[№]],Поиск_расходки[Индекс5],0)),"")</f>
        <v/>
      </c>
      <c r="W82" s="180" t="str">
        <f>IFERROR(INDEX(Расходка[Наименование расходного материала],MATCH(Расходка[[#This Row],[№]],Поиск_расходки[Индекс6],0)),"")</f>
        <v/>
      </c>
      <c r="X82" s="180" t="str">
        <f>IFERROR(INDEX(Расходка[Наименование расходного материала],MATCH(Расходка[[#This Row],[№]],Поиск_расходки[Индекс7],0)),"")</f>
        <v/>
      </c>
      <c r="Y82" s="180" t="str">
        <f>IFERROR(INDEX(Расходка[Наименование расходного материала],MATCH(Расходка[[#This Row],[№]],Поиск_расходки[Индекс8],0)),"")</f>
        <v/>
      </c>
      <c r="Z82" s="180" t="str">
        <f>IFERROR(INDEX(Расходка[Наименование расходного материала],MATCH(Расходка[[#This Row],[№]],Поиск_расходки[Индекс9],0)),"")</f>
        <v/>
      </c>
      <c r="AA82" s="180" t="str">
        <f>IFERROR(INDEX(Расходка[Наименование расходного материала],MATCH(Расходка[[#This Row],[№]],Поиск_расходки[Индекс10],0)),"")</f>
        <v/>
      </c>
      <c r="AB82" s="180" t="str">
        <f>IFERROR(INDEX(Расходка[Наименование расходного материала],MATCH(Расходка[[#This Row],[№]],Поиск_расходки[Индекс11],0)),"")</f>
        <v/>
      </c>
      <c r="AC82" s="180" t="str">
        <f>IFERROR(INDEX(Расходка[Наименование расходного материала],MATCH(Расходка[[#This Row],[№]],Поиск_расходки[Индекс12],0)),"")</f>
        <v/>
      </c>
      <c r="AD82" s="180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473</v>
      </c>
    </row>
    <row r="83" spans="5:33">
      <c r="E83" s="179">
        <f>IF(ISNUMBER(SEARCH('Карта учёта'!$B$13,Расходка[[#This Row],[Наименование расходного материала]])),MAX($E$1:E82)+1,0)</f>
        <v>0</v>
      </c>
      <c r="F83" s="179">
        <f>IF(ISNUMBER(SEARCH('Карта учёта'!$B$14,Расходка[[#This Row],[Наименование расходного материала]])),MAX($F$1:F82)+1,0)</f>
        <v>0</v>
      </c>
      <c r="G83" s="179">
        <f>IF(ISNUMBER(SEARCH('Карта учёта'!$B$15,Расходка[[#This Row],[Наименование расходного материала]])),MAX($G$1:G82)+1,0)</f>
        <v>0</v>
      </c>
      <c r="H83" s="179">
        <f>IF(ISNUMBER(SEARCH('Карта учёта'!#REF!,Расходка[[#This Row],[Наименование расходного материала]])),MAX($H$1:H82)+1,0)</f>
        <v>0</v>
      </c>
      <c r="I83" s="179">
        <f>IF(ISNUMBER(SEARCH('Карта учёта'!#REF!,Расходка[[#This Row],[Наименование расходного материала]])),MAX($I$1:I82)+1,0)</f>
        <v>0</v>
      </c>
      <c r="J83" s="179">
        <f>IF(ISNUMBER(SEARCH('Карта учёта'!$B$16,Расходка[[#This Row],[Наименование расходного материала]])),MAX($J$1:J82)+1,0)</f>
        <v>0</v>
      </c>
      <c r="K83" s="179">
        <f>IF(ISNUMBER(SEARCH('Карта учёта'!$B$17,Расходка[[#This Row],[Наименование расходного материала]])),MAX($K$1:K82)+1,0)</f>
        <v>0</v>
      </c>
      <c r="L83" s="179">
        <f>IF(ISNUMBER(SEARCH('Карта учёта'!$B$18,Расходка[[#This Row],[Наименование расходного материала]])),MAX($L$1:L82)+1,0)</f>
        <v>0</v>
      </c>
      <c r="M83" s="179">
        <f>IF(ISNUMBER(SEARCH('Карта учёта'!$B$19,Расходка[[#This Row],[Наименование расходного материала]])),MAX($M$1:M82)+1,0)</f>
        <v>0</v>
      </c>
      <c r="N83" s="179">
        <f>IF(ISNUMBER(SEARCH('Карта учёта'!$B$20,Расходка[[#This Row],[Наименование расходного материала]])),MAX($N$1:N82)+1,0)</f>
        <v>0</v>
      </c>
      <c r="O83" s="179">
        <f>IF(ISNUMBER(SEARCH('Карта учёта'!$B$21,Расходка[[#This Row],[Наименование расходного материала]])),MAX($O$1:O82)+1,0)</f>
        <v>0</v>
      </c>
      <c r="P83" s="179">
        <f>IF(ISNUMBER(SEARCH('Карта учёта'!$B$22,Расходка[[#This Row],[Наименование расходного материала]])),MAX($P$1:P82)+1,0)</f>
        <v>0</v>
      </c>
      <c r="Q83" s="179">
        <f>IF(ISNUMBER(SEARCH('Карта учёта'!$B$23,Расходка[[#This Row],[Наименование расходного материала]])),MAX($Q$1:Q82)+1,0)</f>
        <v>0</v>
      </c>
      <c r="R83" s="180" t="str">
        <f>IFERROR(INDEX(Расходка[Наименование расходного материала],MATCH(Расходка[[#This Row],[№]],Поиск_расходки[Индекс1],0)),"")</f>
        <v/>
      </c>
      <c r="S83" s="180" t="str">
        <f>IFERROR(INDEX(Расходка[Наименование расходного материала],MATCH(Расходка[[#This Row],[№]],Поиск_расходки[Индекс2],0)),"")</f>
        <v/>
      </c>
      <c r="T83" s="180" t="str">
        <f>IFERROR(INDEX(Расходка[Наименование расходного материала],MATCH(Расходка[[#This Row],[№]],Поиск_расходки[Индекс3],0)),"")</f>
        <v/>
      </c>
      <c r="U83" s="180" t="str">
        <f>IFERROR(INDEX(Расходка[Наименование расходного материала],MATCH(Расходка[[#This Row],[№]],Поиск_расходки[Индекс4],0)),"")</f>
        <v/>
      </c>
      <c r="V83" s="180" t="str">
        <f>IFERROR(INDEX(Расходка[Наименование расходного материала],MATCH(Расходка[[#This Row],[№]],Поиск_расходки[Индекс5],0)),"")</f>
        <v/>
      </c>
      <c r="W83" s="180" t="str">
        <f>IFERROR(INDEX(Расходка[Наименование расходного материала],MATCH(Расходка[[#This Row],[№]],Поиск_расходки[Индекс6],0)),"")</f>
        <v/>
      </c>
      <c r="X83" s="180" t="str">
        <f>IFERROR(INDEX(Расходка[Наименование расходного материала],MATCH(Расходка[[#This Row],[№]],Поиск_расходки[Индекс7],0)),"")</f>
        <v/>
      </c>
      <c r="Y83" s="180" t="str">
        <f>IFERROR(INDEX(Расходка[Наименование расходного материала],MATCH(Расходка[[#This Row],[№]],Поиск_расходки[Индекс8],0)),"")</f>
        <v/>
      </c>
      <c r="Z83" s="180" t="str">
        <f>IFERROR(INDEX(Расходка[Наименование расходного материала],MATCH(Расходка[[#This Row],[№]],Поиск_расходки[Индекс9],0)),"")</f>
        <v/>
      </c>
      <c r="AA83" s="180" t="str">
        <f>IFERROR(INDEX(Расходка[Наименование расходного материала],MATCH(Расходка[[#This Row],[№]],Поиск_расходки[Индекс10],0)),"")</f>
        <v/>
      </c>
      <c r="AB83" s="180" t="str">
        <f>IFERROR(INDEX(Расходка[Наименование расходного материала],MATCH(Расходка[[#This Row],[№]],Поиск_расходки[Индекс11],0)),"")</f>
        <v/>
      </c>
      <c r="AC83" s="180" t="str">
        <f>IFERROR(INDEX(Расходка[Наименование расходного материала],MATCH(Расходка[[#This Row],[№]],Поиск_расходки[Индекс12],0)),"")</f>
        <v/>
      </c>
      <c r="AD83" s="180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474</v>
      </c>
    </row>
    <row r="84" spans="5:33">
      <c r="AF84" s="4" t="s">
        <v>6</v>
      </c>
      <c r="AG84" s="4" t="s">
        <v>425</v>
      </c>
    </row>
    <row r="85" spans="5:33">
      <c r="AF85" s="4" t="s">
        <v>6</v>
      </c>
      <c r="AG85" s="4" t="s">
        <v>426</v>
      </c>
    </row>
    <row r="86" spans="5:33">
      <c r="AF86" s="4" t="s">
        <v>6</v>
      </c>
      <c r="AG86" s="4" t="s">
        <v>475</v>
      </c>
    </row>
    <row r="87" spans="5:33">
      <c r="AF87" s="4" t="s">
        <v>6</v>
      </c>
      <c r="AG87" s="4" t="s">
        <v>476</v>
      </c>
    </row>
    <row r="88" spans="5:33">
      <c r="AF88" s="4" t="s">
        <v>6</v>
      </c>
      <c r="AG88" s="4" t="s">
        <v>477</v>
      </c>
    </row>
    <row r="89" spans="5:33">
      <c r="AF89" s="4" t="s">
        <v>6</v>
      </c>
      <c r="AG89" s="4" t="s">
        <v>478</v>
      </c>
    </row>
    <row r="90" spans="5:33">
      <c r="AF90" s="4" t="s">
        <v>6</v>
      </c>
      <c r="AG90" s="4" t="s">
        <v>479</v>
      </c>
    </row>
    <row r="91" spans="5:33">
      <c r="AF91" s="4" t="s">
        <v>6</v>
      </c>
      <c r="AG91" s="4" t="s">
        <v>480</v>
      </c>
    </row>
    <row r="92" spans="5:33">
      <c r="AF92" s="4" t="s">
        <v>6</v>
      </c>
      <c r="AG92" s="4" t="s">
        <v>481</v>
      </c>
    </row>
    <row r="93" spans="5:33">
      <c r="AF93" s="4" t="s">
        <v>6</v>
      </c>
      <c r="AG93" s="4" t="s">
        <v>482</v>
      </c>
    </row>
    <row r="94" spans="5:33">
      <c r="AF94" s="4" t="s">
        <v>6</v>
      </c>
      <c r="AG94" s="4" t="s">
        <v>429</v>
      </c>
    </row>
    <row r="95" spans="5:33">
      <c r="AF95" s="4" t="s">
        <v>6</v>
      </c>
      <c r="AG95" s="4" t="s">
        <v>430</v>
      </c>
    </row>
    <row r="96" spans="5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7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2025-01-24T18:09:31Z</cp:lastPrinted>
  <dcterms:created xsi:type="dcterms:W3CDTF">2015-06-05T18:19:34Z</dcterms:created>
  <dcterms:modified xsi:type="dcterms:W3CDTF">2025-01-24T18:14:45Z</dcterms:modified>
</cp:coreProperties>
</file>