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1" l="1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58" i="1" l="1"/>
  <c r="B13" i="9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20" i="9" l="1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Q77" i="1"/>
  <c r="O76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U49" i="1" s="1"/>
  <c r="U62" i="1"/>
  <c r="U48" i="1"/>
  <c r="U50" i="1"/>
  <c r="U65" i="1"/>
  <c r="U78" i="1"/>
  <c r="U76" i="1"/>
  <c r="U77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71" i="1" l="1"/>
  <c r="U67" i="1"/>
  <c r="U43" i="1"/>
  <c r="U63" i="1"/>
  <c r="U2" i="1"/>
  <c r="U41" i="1"/>
  <c r="U61" i="1"/>
  <c r="U52" i="1"/>
  <c r="U44" i="1"/>
  <c r="U47" i="1"/>
  <c r="U57" i="1"/>
  <c r="U39" i="1"/>
  <c r="U45" i="1"/>
  <c r="U70" i="1"/>
  <c r="U51" i="1"/>
  <c r="U46" i="1"/>
  <c r="U66" i="1"/>
  <c r="U75" i="1"/>
  <c r="U60" i="1"/>
  <c r="U42" i="1"/>
  <c r="U73" i="1"/>
  <c r="U40" i="1"/>
  <c r="U55" i="1"/>
  <c r="U72" i="1"/>
  <c r="U58" i="1"/>
  <c r="U54" i="1"/>
  <c r="U69" i="1"/>
  <c r="U59" i="1"/>
  <c r="U56" i="1"/>
  <c r="U64" i="1"/>
  <c r="U53" i="1"/>
  <c r="U74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V50" i="1" s="1"/>
  <c r="W54" i="1"/>
  <c r="W78" i="1"/>
  <c r="V77" i="1"/>
  <c r="V62" i="1"/>
  <c r="V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58" i="1"/>
  <c r="V55" i="1"/>
  <c r="V74" i="1"/>
  <c r="V47" i="1"/>
  <c r="V70" i="1"/>
  <c r="V65" i="1"/>
  <c r="V42" i="1"/>
  <c r="V39" i="1"/>
  <c r="V73" i="1"/>
  <c r="V68" i="1"/>
  <c r="V52" i="1"/>
  <c r="V63" i="1"/>
  <c r="V49" i="1"/>
  <c r="V45" i="1"/>
  <c r="V59" i="1"/>
  <c r="V75" i="1"/>
  <c r="V41" i="1"/>
  <c r="V51" i="1"/>
  <c r="V67" i="1"/>
  <c r="V46" i="1"/>
  <c r="V54" i="1"/>
  <c r="V72" i="1"/>
  <c r="V48" i="1"/>
  <c r="V53" i="1"/>
  <c r="V56" i="1"/>
  <c r="V40" i="1"/>
  <c r="V61" i="1"/>
  <c r="V64" i="1"/>
  <c r="V66" i="1"/>
  <c r="V43" i="1"/>
  <c r="V44" i="1"/>
  <c r="V69" i="1"/>
  <c r="V60" i="1"/>
  <c r="V57" i="1"/>
  <c r="V71" i="1"/>
  <c r="V7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7" i="1" l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N74" i="1"/>
  <c r="L68" i="1"/>
  <c r="M62" i="1"/>
  <c r="Y2" i="1"/>
  <c r="G78" i="1" l="1"/>
  <c r="T49" i="1"/>
  <c r="T44" i="1"/>
  <c r="T17" i="1"/>
  <c r="T2" i="1"/>
  <c r="T47" i="1"/>
  <c r="T50" i="1"/>
  <c r="T64" i="1"/>
  <c r="T33" i="1"/>
  <c r="T66" i="1"/>
  <c r="T71" i="1"/>
  <c r="T73" i="1"/>
  <c r="T58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T9" i="1" l="1"/>
  <c r="T67" i="1"/>
  <c r="T43" i="1"/>
  <c r="T39" i="1"/>
  <c r="T10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21" i="1"/>
  <c r="T48" i="1"/>
  <c r="T36" i="1"/>
  <c r="T13" i="1"/>
  <c r="T53" i="1"/>
  <c r="T29" i="1"/>
  <c r="T26" i="1"/>
  <c r="T19" i="1"/>
  <c r="T35" i="1"/>
  <c r="T22" i="1"/>
  <c r="T16" i="1"/>
  <c r="T42" i="1"/>
  <c r="T68" i="1"/>
  <c r="T15" i="1"/>
  <c r="T57" i="1"/>
  <c r="T20" i="1"/>
  <c r="T72" i="1"/>
  <c r="T11" i="1"/>
  <c r="T28" i="1"/>
  <c r="T70" i="1"/>
  <c r="T31" i="1"/>
  <c r="T61" i="1"/>
  <c r="T25" i="1"/>
  <c r="T69" i="1"/>
  <c r="T41" i="1"/>
  <c r="T65" i="1"/>
  <c r="T60" i="1"/>
  <c r="T37" i="1"/>
  <c r="T52" i="1"/>
  <c r="T12" i="1"/>
  <c r="T54" i="1"/>
  <c r="T38" i="1"/>
  <c r="T59" i="1"/>
  <c r="T55" i="1"/>
  <c r="T32" i="1"/>
  <c r="T62" i="1"/>
  <c r="T3" i="1"/>
  <c r="P45" i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L75" i="1" s="1"/>
  <c r="M69" i="1"/>
  <c r="P48" i="1" l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78" i="1" s="1"/>
  <c r="Y27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P51" i="1" l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6" i="1" l="1"/>
  <c r="AC78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<sst xmlns="http://schemas.openxmlformats.org/spreadsheetml/2006/main" count="900" uniqueCount="543">
  <si>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</si>
  <si>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</si>
  <si>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</si>
  <si>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</si>
  <si>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</si>
  <si>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</si>
  <si>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</si>
  <si>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</si>
  <si>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</si>
  <si>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</si>
  <si>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</si>
  <si>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</si>
  <si>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</si>
  <si>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</si>
  <si>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</si>
  <si>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</si>
  <si>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</si>
  <si>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</si>
  <si>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</si>
  <si>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</si>
  <si>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</si>
  <si>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</si>
  <si>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</si>
  <si>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</si>
  <si>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</si>
  <si>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</si>
  <si>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</si>
  <si>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</si>
  <si>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</si>
  <si>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</si>
  <si>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</si>
  <si>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</si>
  <si>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</si>
  <si>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</si>
  <si>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</si>
  <si>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</si>
  <si>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</si>
  <si>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</si>
  <si>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</si>
  <si>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</si>
  <si>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</si>
  <si>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</si>
  <si>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</si>
  <si>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</si>
  <si>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</si>
  <si>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</si>
  <si>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</si>
  <si>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</si>
  <si>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</si>
  <si>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</si>
  <si>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</si>
  <si>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</si>
  <si>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</si>
  <si>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</si>
  <si>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</si>
  <si>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</si>
  <si>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</si>
  <si>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</si>
  <si>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</si>
  <si>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</si>
  <si>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</si>
  <si>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</si>
  <si>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</si>
  <si>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</si>
  <si>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</si>
  <si>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</si>
  <si>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</si>
  <si>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</si>
  <si>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</si>
  <si>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</si>
  <si>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</si>
  <si>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</si>
  <si>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</si>
  <si>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</si>
  <si>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</si>
  <si>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</si>
  <si>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</si>
  <si>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</si>
  <si>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</si>
  <si>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</si>
  <si>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</si>
  <si>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</si>
  <si>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</si>
  <si>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</si>
  <si>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</si>
  <si>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</si>
  <si>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</si>
  <si>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</si>
  <si>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</si>
  <si>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</si>
  <si>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</si>
  <si>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</si>
  <si>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</si>
  <si>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</si>
  <si>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</si>
  <si>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</si>
  <si>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</si>
  <si>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</si>
  <si>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</si>
  <si>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</si>
  <si>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</si>
  <si>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</si>
  <si>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</si>
  <si>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</si>
  <si>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</si>
  <si>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</si>
  <si>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</si>
  <si>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</si>
  <si>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</si>
  <si>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</si>
  <si>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</si>
  <si>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</si>
  <si>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</si>
  <si>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</si>
  <si>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</si>
  <si>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</si>
  <si>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</si>
  <si>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</si>
  <si>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</si>
  <si>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</si>
  <si>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</si>
  <si>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</si>
  <si>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</si>
  <si>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</si>
  <si>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</si>
  <si>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</si>
  <si>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</si>
  <si>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</si>
  <si>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</si>
  <si>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</si>
  <si>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</si>
  <si>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</si>
  <si>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</si>
  <si>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</si>
  <si>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</si>
  <si>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</si>
  <si>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</si>
  <si>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</si>
  <si>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</si>
  <si>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</si>
  <si>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</si>
  <si>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</si>
  <si>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</si>
  <si>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</si>
  <si>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</si>
  <si>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</si>
  <si>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</si>
  <si>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</si>
  <si>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</si>
  <si>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</si>
  <si>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</si>
  <si>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</si>
  <si>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</si>
  <si>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</si>
  <si>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</si>
  <si>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</si>
  <si>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</si>
  <si>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</si>
  <si>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</si>
  <si>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</si>
  <si>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</si>
  <si>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</si>
  <si>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</si>
  <si>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</si>
  <si>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</si>
  <si>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</si>
  <si>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</si>
  <si>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</si>
  <si>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</si>
  <si>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</si>
  <si>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</si>
  <si>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</si>
  <si>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</si>
  <si>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</si>
  <si>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</si>
  <si>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</si>
  <si>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</si>
  <si>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</si>
  <si>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</si>
  <si>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</si>
  <si>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</si>
  <si>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</si>
  <si>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</si>
  <si>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</si>
  <si>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</si>
  <si>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</si>
  <si>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</si>
  <si>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</si>
  <si>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</si>
  <si>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</si>
  <si>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</si>
  <si>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</si>
  <si>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</si>
  <si>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</si>
  <si>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</si>
  <si>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</si>
  <si>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</si>
  <si>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</si>
  <si>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</si>
  <si>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</si>
  <si>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</si>
  <si>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</si>
  <si>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</si>
  <si>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</si>
  <si>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</si>
  <si>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</si>
  <si>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</si>
  <si>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</si>
  <si>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</si>
  <si>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</si>
  <si>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</si>
  <si>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</si>
  <si>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</si>
  <si>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</si>
  <si>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</si>
  <si>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</si>
  <si>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</si>
  <si>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</si>
  <si>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</si>
  <si>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</si>
  <si>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</si>
  <si>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</si>
  <si>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</si>
  <si>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</si>
  <si>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</si>
  <si>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</si>
  <si>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</si>
  <si>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</si>
  <si>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</si>
  <si>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</si>
  <si>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</si>
  <si>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</si>
  <si>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</si>
  <si>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</si>
  <si>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</si>
  <si>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</si>
  <si>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</si>
  <si>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</si>
  <si>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</si>
  <si>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</si>
  <si>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</si>
  <si>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</si>
  <si>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</si>
  <si>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</si>
  <si>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</si>
  <si>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</si>
  <si>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</si>
  <si>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</si>
  <si>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</si>
  <si>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</si>
  <si>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</si>
  <si>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</si>
  <si>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</si>
  <si>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</si>
  <si>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</si>
  <si>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</si>
  <si>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</si>
  <si>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</si>
  <si>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</si>
  <si>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</si>
  <si>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</si>
  <si>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</si>
  <si>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</si>
  <si>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</si>
  <si>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</si>
  <si>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</si>
  <si>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</si>
  <si>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</si>
  <si>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</si>
  <si>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</si>
  <si>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</si>
  <si>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</si>
  <si>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</si>
  <si>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</si>
  <si>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</si>
  <si>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</si>
  <si>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</si>
  <si>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</si>
  <si>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</si>
  <si>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</si>
  <si>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</si>
  <si>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</si>
  <si>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</si>
  <si>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</si>
  <si>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</si>
  <si>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</si>
  <si>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</si>
  <si>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</si>
  <si>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</si>
  <si>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</si>
  <si>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</si>
  <si>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</si>
  <si>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</si>
  <si>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</si>
  <si>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</si>
  <si>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</si>
  <si>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</si>
  <si>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</si>
  <si>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</si>
  <si>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</si>
  <si>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</si>
  <si>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</si>
  <si>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</si>
  <si>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</si>
  <si>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</si>
  <si>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</si>
  <si>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</si>
  <si>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</si>
  <si>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</si>
  <si>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</si>
  <si>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</si>
  <si>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</si>
  <si>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</si>
  <si>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</si>
  <si>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</si>
  <si>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</si>
  <si>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</si>
  <si>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</si>
  <si>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</si>
  <si>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</si>
  <si>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</si>
  <si>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</si>
  <si>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</si>
  <si>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</si>
  <si>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</si>
  <si>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</si>
  <si>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</si>
  <si>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</si>
  <si>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</si>
  <si>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</si>
  <si>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</si>
  <si>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</si>
  <si>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</si>
  <si>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</si>
  <si>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</si>
  <si>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</si>
  <si>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</si>
  <si>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</si>
  <si>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</si>
  <si>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</si>
  <si>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</si>
  <si>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</si>
  <si>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</si>
  <si>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</si>
  <si>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</si>
  <si>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</si>
  <si>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</si>
  <si>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</si>
  <si>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</si>
  <si>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</si>
  <si>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</si>
  <si>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</si>
  <si>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</si>
  <si>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</si>
  <si>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</si>
  <si>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</si>
  <si>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</si>
  <si>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</si>
  <si>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</si>
  <si>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</si>
  <si>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</si>
  <si>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</si>
  <si>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</si>
  <si>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</si>
  <si>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</si>
  <si>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</si>
  <si>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</si>
  <si>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</si>
  <si>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</si>
  <si>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</si>
  <si>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</si>
  <si>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</si>
  <si>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</si>
  <si>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</si>
  <si>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</si>
  <si>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</si>
  <si>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</si>
  <si>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</si>
  <si>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</si>
  <si>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</si>
  <si>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</si>
  <si>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</si>
  <si>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</si>
  <si>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</si>
  <si>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</si>
  <si>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</si>
  <si>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</si>
  <si>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</si>
  <si>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</si>
  <si>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</si>
  <si>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</si>
  <si>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</si>
  <si>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</si>
  <si>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</si>
  <si>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</si>
  <si>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</si>
  <si>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</si>
  <si>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</si>
  <si>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</si>
  <si>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</si>
  <si>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</si>
  <si>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</si>
  <si>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</si>
  <si>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</si>
  <si>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</si>
  <si>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</si>
  <si>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</si>
  <si>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</si>
  <si>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</si>
  <si>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</si>
  <si>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</si>
  <si>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</si>
  <si>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</si>
  <si>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</si>
  <si>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</si>
  <si>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</si>
  <si>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</si>
  <si>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</si>
  <si>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</si>
  <si>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</si>
  <si>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</si>
  <si>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</si>
  <si>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</si>
  <si>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</si>
  <si>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</si>
  <si>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</si>
  <si>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</si>
  <si>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</si>
  <si>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</si>
  <si>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</si>
  <si>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</si>
  <si>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</si>
  <si>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</si>
  <si>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</si>
  <si>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</si>
  <si>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</si>
  <si>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</si>
  <si>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</si>
  <si>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</si>
  <si>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</si>
  <si>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</si>
  <si>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</si>
  <si>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</si>
  <si>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</si>
  <si>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</si>
  <si>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</si>
  <si>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</si>
  <si>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</si>
  <si>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</si>
  <si>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</si>
  <si>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</si>
  <si>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</si>
  <si>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</si>
  <si>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</si>
  <si>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</si>
  <si>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</si>
  <si>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</si>
  <si>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</si>
  <si>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</si>
  <si>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</si>
  <si>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</si>
  <si>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</si>
  <si>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</si>
  <si>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</si>
  <si>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</si>
  <si>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</si>
  <si>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</si>
  <si>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</si>
  <si>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</si>
  <si>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</si>
  <si>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</si>
  <si>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</si>
  <si>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</si>
  <si>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</si>
  <si>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</si>
  <si>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</si>
  <si>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</si>
  <si>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</si>
  <si>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</si>
  <si>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</si>
  <si>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</si>
  <si>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</si>
  <si>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</si>
  <si>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</si>
  <si>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</si>
  <si>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</si>
  <si>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</si>
  <si>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</si>
  <si>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</si>
  <si>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</si>
  <si>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</si>
  <si>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</si>
  <si>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</si>
  <si>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</si>
  <si>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</si>
  <si>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</si>
  <si>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</si>
  <si>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</si>
  <si>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</si>
  <si>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</si>
  <si>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</si>
  <si>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</si>
  <si>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</si>
  <si>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</si>
  <si>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</si>
  <si>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</si>
  <si>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</si>
  <si>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</si>
  <si>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</si>
  <si>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</si>
  <si>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</si>
  <si>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</si>
  <si>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</si>
  <si>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</si>
  <si>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</si>
  <si>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</si>
  <si>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</si>
  <si>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</si>
  <si>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</si>
  <si>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</si>
  <si>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</si>
  <si>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</si>
  <si>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</si>
  <si>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</si>
  <si>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</si>
  <si>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</si>
  <si>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</si>
  <si>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 xml:space="preserve">Контроль места пункции, повязка на 6 ч. </t>
  </si>
  <si>
    <t>DES, Metafor</t>
  </si>
  <si>
    <t>50 ml</t>
  </si>
  <si>
    <t>Волженцева Ю.В.</t>
  </si>
  <si>
    <t>Правый</t>
  </si>
  <si>
    <t xml:space="preserve">Совместно с д/кардиологом: с учетом клинических данных, ЭКГ и КАГ рекомендована реканализация бассейна ПКА. </t>
  </si>
  <si>
    <t>неровность контуров, без значимых стенозов</t>
  </si>
  <si>
    <t>Кондрашова Л.В.</t>
  </si>
  <si>
    <t>10:18</t>
  </si>
  <si>
    <t>Shunmei 0,6</t>
  </si>
  <si>
    <t>Shunmei 0,7</t>
  </si>
  <si>
    <t xml:space="preserve">стеноз на границе проксимального и среднего сегменов 50%, стеноз среднего сегмента до 50%,  неровность контуров дистального сегмента, кровоток TIMI III. </t>
  </si>
  <si>
    <t xml:space="preserve">представлена доминантной ВТК: стеноз проксимальной трети 30%, кровоток TIMI III. </t>
  </si>
  <si>
    <t>стеноз проксимального сегмента 30%, острая тромботическая окклюзия среднего сегмента, стенозы дистального сегментов 70%, TTG 3, Rentrop 0, антеградный кровоток TIMI 0.</t>
  </si>
  <si>
    <t xml:space="preserve">Устье ПКА катетеризировано проводниковым катетером Launcher JR 3.5 6Fr. Коронарный проводник Shunmei заведен в дистальный сегмент ПКА. Выполнена тромбаспирация аспирационным катетером Export Advance (2 аспирации), получены фрагменты тромба. Реканализация в 18:12. В зону стеноза среднего и проксимального сегментов оверлэппингом позиционированы и  имплантированы DES Resolute Integrity 3,5 x 38 мм, DES Resolute Integrity 4,0 x 34 мм, давлением 16 атм. Выполнена постдилатация стентов на всем протяжении БК Аксиома NC 4,0 х 8 мм, давлением до 20 атм. 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по ПКА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</si>
  <si>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t>150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</si>
</sst>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1" fillId="0" borderId="0" xfId="0" applyFont="1"/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9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H15" sqref="H15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45688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0.74652777777777779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0.75347222222222221</v>
      </c>
      <c r="C10" s="54"/>
      <c r="D10" s="94" t="s">
        <v>173</v>
      </c>
      <c r="E10" s="92"/>
      <c r="F10" s="92"/>
      <c r="G10" s="23" t="s">
        <v>156</v>
      </c>
      <c r="H10" s="25"/>
    </row>
    <row r="11" spans="1:8" ht="17.25" thickTop="1" thickBot="1">
      <c r="A11" s="88" t="s">
        <v>192</v>
      </c>
      <c r="B11" s="201" t="s">
        <v>534</v>
      </c>
      <c r="C11" s="8"/>
      <c r="D11" s="94" t="s">
        <v>170</v>
      </c>
      <c r="E11" s="92"/>
      <c r="F11" s="92"/>
      <c r="G11" s="23" t="s">
        <v>251</v>
      </c>
      <c r="H11" s="25"/>
    </row>
    <row r="12" spans="1:8" ht="16.5" thickTop="1">
      <c r="A12" s="80" t="s">
        <v>8</v>
      </c>
      <c r="B12" s="81">
        <v>21352</v>
      </c>
      <c r="C12" s="11"/>
      <c r="D12" s="94" t="s">
        <v>302</v>
      </c>
      <c r="E12" s="92"/>
      <c r="F12" s="92"/>
      <c r="G12" s="23" t="s">
        <v>530</v>
      </c>
      <c r="H12" s="25"/>
    </row>
    <row r="13" spans="1:8" ht="15.75">
      <c r="A13" s="14" t="s">
        <v>10</v>
      </c>
      <c r="B13" s="29">
        <f>DATEDIF(B12,B8,"y")</f>
        <v>66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2902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535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5" t="s">
        <v>399</v>
      </c>
      <c r="H16" s="163">
        <v>5530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10.507</v>
      </c>
    </row>
    <row r="18" spans="1:8" ht="14.45" customHeight="1">
      <c r="A18" s="56" t="s">
        <v>188</v>
      </c>
      <c r="B18" s="86" t="s">
        <v>531</v>
      </c>
      <c r="C18"/>
      <c r="D18" s="27" t="s">
        <v>210</v>
      </c>
      <c r="E18" s="27"/>
      <c r="F18" s="27"/>
      <c r="G18" s="84" t="s">
        <v>189</v>
      </c>
      <c r="H18" s="85" t="s">
        <v>526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533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271</v>
      </c>
      <c r="B22" s="229" t="s">
        <v>538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24"/>
      <c r="C23" s="224"/>
      <c r="D23" s="224"/>
      <c r="E23" s="224"/>
      <c r="F23" s="224"/>
      <c r="G23" s="224"/>
      <c r="H23" s="231"/>
    </row>
    <row r="24" spans="1:8" ht="14.45" customHeight="1">
      <c r="A24" s="59"/>
      <c r="B24" s="224"/>
      <c r="C24" s="224"/>
      <c r="D24" s="224"/>
      <c r="E24" s="224"/>
      <c r="F24" s="224"/>
      <c r="G24" s="224"/>
      <c r="H24" s="231"/>
    </row>
    <row r="25" spans="1:8" ht="14.45" customHeight="1">
      <c r="A25" s="37"/>
      <c r="B25" s="224"/>
      <c r="C25" s="224"/>
      <c r="D25" s="224"/>
      <c r="E25" s="224"/>
      <c r="F25" s="224"/>
      <c r="G25" s="224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272</v>
      </c>
      <c r="B27" s="229" t="s">
        <v>539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24"/>
      <c r="C28" s="224"/>
      <c r="D28" s="224"/>
      <c r="E28" s="224"/>
      <c r="F28" s="224"/>
      <c r="G28" s="224"/>
      <c r="H28" s="231"/>
    </row>
    <row r="29" spans="1:8" ht="14.45" customHeight="1">
      <c r="A29" s="37"/>
      <c r="B29" s="224"/>
      <c r="C29" s="224"/>
      <c r="D29" s="224"/>
      <c r="E29" s="224"/>
      <c r="F29" s="224"/>
      <c r="G29" s="224"/>
      <c r="H29" s="231"/>
    </row>
    <row r="30" spans="1:8" ht="14.45" customHeight="1">
      <c r="A30" s="31"/>
      <c r="B30" s="224"/>
      <c r="C30" s="224"/>
      <c r="D30" s="224"/>
      <c r="E30" s="224"/>
      <c r="F30" s="224"/>
      <c r="G30" s="224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273</v>
      </c>
      <c r="B32" s="229" t="s">
        <v>540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24"/>
      <c r="C33" s="224"/>
      <c r="D33" s="224"/>
      <c r="E33" s="224"/>
      <c r="F33" s="224"/>
      <c r="G33" s="224"/>
      <c r="H33" s="231"/>
    </row>
    <row r="34" spans="1:8" ht="15.6" customHeight="1">
      <c r="A34" s="37"/>
      <c r="B34" s="224"/>
      <c r="C34" s="224"/>
      <c r="D34" s="224"/>
      <c r="E34" s="224"/>
      <c r="F34" s="224"/>
      <c r="G34" s="224"/>
      <c r="H34" s="231"/>
    </row>
    <row r="35" spans="1:8" ht="14.45" customHeight="1">
      <c r="A35" s="37"/>
      <c r="B35" s="224"/>
      <c r="C35" s="224"/>
      <c r="D35" s="224"/>
      <c r="E35" s="224"/>
      <c r="F35" s="224"/>
      <c r="G35" s="224"/>
      <c r="H35" s="231"/>
    </row>
    <row r="36" spans="1:8" ht="15.6" customHeight="1">
      <c r="A36" s="37"/>
      <c r="B36" s="224"/>
      <c r="C36" s="224"/>
      <c r="D36" s="224"/>
      <c r="E36" s="224"/>
      <c r="F36" s="224"/>
      <c r="G36" s="224"/>
      <c r="H36" s="231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/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532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3"/>
      <c r="C49" s="204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204</v>
      </c>
      <c r="B51" s="62" t="s">
        <v>529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524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20" zoomScaleNormal="100" zoomScaleSheetLayoutView="100" zoomScalePageLayoutView="90" workbookViewId="0">
      <selection activeCell="B50" sqref="B50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 t="s">
        <v>242</v>
      </c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3" t="s">
        <v>216</v>
      </c>
      <c r="D8" s="243"/>
      <c r="E8" s="243"/>
      <c r="F8" s="188">
        <v>2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3"/>
      <c r="D9" s="243"/>
      <c r="E9" s="243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7"/>
      <c r="C10" s="247"/>
      <c r="D10" s="247"/>
      <c r="E10" s="247"/>
      <c r="F10" s="191"/>
      <c r="G10" s="117"/>
      <c r="H10" s="38"/>
    </row>
    <row r="11" spans="1:8">
      <c r="A11" s="190"/>
      <c r="B11" s="194"/>
      <c r="C11" s="197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45688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0.75347222222222221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0.77777777777777779</v>
      </c>
      <c r="C14" s="11"/>
      <c r="D14" s="94" t="s">
        <v>173</v>
      </c>
      <c r="E14" s="92"/>
      <c r="F14" s="92"/>
      <c r="G14" s="79" t="str">
        <f>КАГ!G10</f>
        <v>Мешалкина И.В.</v>
      </c>
      <c r="H14" s="90" t="str">
        <f>IF(ISBLANK(КАГ!H10),"",КАГ!H10)</f>
        <v/>
      </c>
    </row>
    <row r="15" spans="1:8" ht="16.5" thickBot="1">
      <c r="A15" s="162" t="s">
        <v>385</v>
      </c>
      <c r="B15" s="186">
        <f>IF(B14&lt;B13,B14+1,B14)-B13</f>
        <v>2.430555555555558E-2</v>
      </c>
      <c r="C15"/>
      <c r="D15" s="94" t="s">
        <v>170</v>
      </c>
      <c r="E15" s="92"/>
      <c r="F15" s="92"/>
      <c r="G15" s="79" t="str">
        <f>КАГ!G11</f>
        <v>Чесноков С.Л.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Кондрашова Л.В.</v>
      </c>
      <c r="C16" s="198">
        <f>LEN(КАГ!B11)</f>
        <v>15</v>
      </c>
      <c r="D16" s="94" t="s">
        <v>302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21352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66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2902</v>
      </c>
      <c r="C19" s="68"/>
      <c r="D19" s="68"/>
      <c r="E19" s="68"/>
      <c r="F19" s="68"/>
      <c r="G19" s="164" t="s">
        <v>397</v>
      </c>
      <c r="H19" s="168" t="s">
        <v>535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79">
        <f>КАГ!H16</f>
        <v>5530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386</v>
      </c>
      <c r="H21" s="167">
        <f>КАГ!H17</f>
        <v>10.507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IF(B21=Вмешательства!F3,Вмешательства!F19,"")</f>
        <v>Реканализация:</v>
      </c>
      <c r="H22" s="183">
        <v>0.7583333333333333</v>
      </c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1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1" t="s">
        <v>541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6" t="s">
        <v>393</v>
      </c>
      <c r="B38" s="174"/>
      <c r="C38" s="175"/>
      <c r="D38" s="175"/>
      <c r="E38" s="184" t="str">
        <f>IF(A6=Вмешательства!D4,Вмешательства!V16,IF(ЧКВ!A6=Вмешательства!D37,Вмешательства!V16,"-----"))</f>
        <v>-----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519</v>
      </c>
      <c r="C40" s="119"/>
      <c r="D40" s="248" t="s">
        <v>527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542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525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369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неровность контуров, без значимых стенозов
Бассейн ПНА:   стеноз на границе проксимального и среднего сегменов 50%, стеноз среднего сегмента до 50%,  неровность контуров дистального сегмента, кровоток TIMI III. 
Бассейн  ОА:   представлена доминантной ВТК: стеноз проксимальной трети 30%, кровоток TIMI III. 
Бассейн ПКА:   стеноз проксимального сегмента 30%, острая тромботическая окклюзия среднего сегмента, стенозы дистального сегментов 70%, TTG 3, Rentrop 0, антеградный кровоток TIMI 0.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3" sqref="B23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45688</v>
      </c>
      <c r="C2" s="151" t="str">
        <f>IF(ЧКВ!A6=Вмешательства!D4,Вмешательства!F20,IF(ЧКВ!A6=Вмешательства!D37,Вмешательства!F20,Вмешательства!F22))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2" t="str">
        <f>КАГ!$B$11</f>
        <v>Кондрашова Л.В.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21352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66</v>
      </c>
    </row>
    <row r="7" spans="1:4">
      <c r="A7" s="37"/>
      <c r="B7"/>
      <c r="C7" s="100" t="s">
        <v>12</v>
      </c>
      <c r="D7" s="102">
        <f>КАГ!$B$14</f>
        <v>2902</v>
      </c>
    </row>
    <row r="8" spans="1:4">
      <c r="A8" s="192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2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3"/>
      <c r="B10" s="30"/>
      <c r="C10" s="149" t="s">
        <v>13</v>
      </c>
      <c r="D10" s="150">
        <f>КАГ!$B$8</f>
        <v>45688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5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328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537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512</v>
      </c>
      <c r="C16" s="134" t="s">
        <v>421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3" t="s">
        <v>368</v>
      </c>
      <c r="C17" s="134"/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322</v>
      </c>
      <c r="C18" s="134" t="s">
        <v>471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3" t="s">
        <v>322</v>
      </c>
      <c r="C19" s="180" t="s">
        <v>478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2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D6" sqref="D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6" zoomScaleNormal="100" workbookViewId="0">
      <selection activeCell="C59" sqref="C5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NC АКСИОМА</v>
      </c>
      <c r="V2" s="114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308</v>
      </c>
      <c r="AO2" s="207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1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1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307</v>
      </c>
      <c r="C13" s="1" t="s">
        <v>332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307</v>
      </c>
      <c r="C14" t="s">
        <v>364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490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305</v>
      </c>
      <c r="C15" t="s">
        <v>331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305</v>
      </c>
      <c r="C16" t="s">
        <v>361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353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374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366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503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337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s="1" t="s">
        <v>505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305</v>
      </c>
      <c r="C23" s="1" t="s">
        <v>507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305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320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341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313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372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509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510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511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321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317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318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319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315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352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359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358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314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376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370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517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518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360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345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508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506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536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Shunmei 0,6</v>
      </c>
      <c r="Z52" s="114" t="str">
        <f>IFERROR(INDEX(Расходка[Наименование расходного материала],MATCH(Расходка[[#This Row],[№]],Поиск_расходки[Индекс9],0)),"")</f>
        <v>Shunmei 0,6</v>
      </c>
      <c r="AA52" s="114" t="str">
        <f>IFERROR(INDEX(Расходка[Наименование расходного материала],MATCH(Расходка[[#This Row],[№]],Поиск_расходки[Индекс10],0)),"")</f>
        <v>Shunmei 0,6</v>
      </c>
      <c r="AB52" s="114" t="str">
        <f>IFERROR(INDEX(Расходка[Наименование расходного материала],MATCH(Расходка[[#This Row],[№]],Поиск_расходки[Индекс11],0)),"")</f>
        <v>Shunmei 0,6</v>
      </c>
      <c r="AC52" s="114" t="str">
        <f>IFERROR(INDEX(Расходка[Наименование расходного материала],MATCH(Расходка[[#This Row],[№]],Поиск_расходки[Индекс12],0)),"")</f>
        <v>Shunmei 0,6</v>
      </c>
      <c r="AD52" s="114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537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1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>Shunmei 0,7</v>
      </c>
      <c r="Z53" s="114" t="str">
        <f>IFERROR(INDEX(Расходка[Наименование расходного материала],MATCH(Расходка[[#This Row],[№]],Поиск_расходки[Индекс9],0)),"")</f>
        <v>Shunmei 0,7</v>
      </c>
      <c r="AA53" s="114" t="str">
        <f>IFERROR(INDEX(Расходка[Наименование расходного материала],MATCH(Расходка[[#This Row],[№]],Поиск_расходки[Индекс10],0)),"")</f>
        <v>Shunmei 0,7</v>
      </c>
      <c r="AB53" s="114" t="str">
        <f>IFERROR(INDEX(Расходка[Наименование расходного материала],MATCH(Расходка[[#This Row],[№]],Поиск_расходки[Индекс11],0)),"")</f>
        <v>Shunmei 0,7</v>
      </c>
      <c r="AC53" s="114" t="str">
        <f>IFERROR(INDEX(Расходка[Наименование расходного материала],MATCH(Расходка[[#This Row],[№]],Поиск_расходки[Индекс12],0)),"")</f>
        <v>Shunmei 0,7</v>
      </c>
      <c r="AD53" s="114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520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521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5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BMS, Integtity</v>
      </c>
      <c r="Z56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6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344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DES, Calipso</v>
      </c>
      <c r="Z57" s="114" t="str">
        <f>IFERROR(INDEX(Расходка[Наименование расходного материала],MATCH(Расходка[[#This Row],[№]],Поиск_расходки[Индекс9],0)),"")</f>
        <v>DES, Calipso</v>
      </c>
      <c r="AA57" s="114" t="str">
        <f>IFERROR(INDEX(Расходка[Наименование расходного материала],MATCH(Расходка[[#This Row],[№]],Поиск_расходки[Индекс10],0)),"")</f>
        <v>DES, Calipso</v>
      </c>
      <c r="AB57" s="114" t="str">
        <f>IFERROR(INDEX(Расходка[Наименование расходного материала],MATCH(Расходка[[#This Row],[№]],Поиск_расходки[Индекс11],0)),"")</f>
        <v>DES, Calipso</v>
      </c>
      <c r="AC57" s="114" t="str">
        <f>IFERROR(INDEX(Расходка[Наименование расходного материала],MATCH(Расходка[[#This Row],[№]],Поиск_расходки[Индекс12],0)),"")</f>
        <v>DES, Calipso</v>
      </c>
      <c r="AD57" s="114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213" t="s">
        <v>528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DES, Metafor</v>
      </c>
      <c r="Z58" s="114" t="str">
        <f>IFERROR(INDEX(Расходка[Наименование расходного материала],MATCH(Расходка[[#This Row],[№]],Поиск_расходки[Индекс9],0)),"")</f>
        <v>DES, Metafor</v>
      </c>
      <c r="AA58" s="114" t="str">
        <f>IFERROR(INDEX(Расходка[Наименование расходного материала],MATCH(Расходка[[#This Row],[№]],Поиск_расходки[Индекс10],0)),"")</f>
        <v>DES, Metafor</v>
      </c>
      <c r="AB58" s="114" t="str">
        <f>IFERROR(INDEX(Расходка[Наименование расходного материала],MATCH(Расходка[[#This Row],[№]],Поиск_расходки[Индекс11],0)),"")</f>
        <v>DES, Metafor</v>
      </c>
      <c r="AC58" s="114" t="str">
        <f>IFERROR(INDEX(Расходка[Наименование расходного материала],MATCH(Расходка[[#This Row],[№]],Поиск_расходки[Индекс12],0)),"")</f>
        <v>DES, Metafor</v>
      </c>
      <c r="AD58" s="114" t="str">
        <f>IFERROR(INDEX(Расходка[Наименование расходного материала],MATCH(Расходка[[#This Row],[№]],Поиск_расходки[Индекс13],0)),"")</f>
        <v>DES, Metafor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343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NanoMed</v>
      </c>
      <c r="Z59" s="114" t="str">
        <f>IFERROR(INDEX(Расходка[Наименование расходного материала],MATCH(Расходка[[#This Row],[№]],Поиск_расходки[Индекс9],0)),"")</f>
        <v>DES, NanoMed</v>
      </c>
      <c r="AA59" s="114" t="str">
        <f>IFERROR(INDEX(Расходка[Наименование расходного материала],MATCH(Расходка[[#This Row],[№]],Поиск_расходки[Индекс10],0)),"")</f>
        <v>DES, NanoMed</v>
      </c>
      <c r="AB59" s="114" t="str">
        <f>IFERROR(INDEX(Расходка[Наименование расходного материала],MATCH(Расходка[[#This Row],[№]],Поиск_расходки[Индекс11],0)),"")</f>
        <v>DES, NanoMed</v>
      </c>
      <c r="AC59" s="114" t="str">
        <f>IFERROR(INDEX(Расходка[Наименование расходного материала],MATCH(Расходка[[#This Row],[№]],Поиск_расходки[Индекс12],0)),"")</f>
        <v>DES, NanoMed</v>
      </c>
      <c r="AD59" s="114" t="str">
        <f>IFERROR(INDEX(Расходка[Наименование расходного материала],MATCH(Расходка[[#This Row],[№]],Поиск_расходки[Индекс13],0)),"")</f>
        <v>DES, NanoMed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129" t="s">
        <v>322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1</v>
      </c>
      <c r="K60" s="115">
        <f>IF(ISNUMBER(SEARCH('Карта учёта'!$B$19,Расходка[[#This Row],[Наименование расходного материала]])),MAX($K$1:K59)+1,0)</f>
        <v>1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0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0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0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0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0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356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1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1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1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1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1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60" t="s">
        <v>384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Firehawk</v>
      </c>
      <c r="Z62" s="114" t="str">
        <f>IFERROR(INDEX(Расходка[Наименование расходного материала],MATCH(Расходка[[#This Row],[№]],Поиск_расходки[Индекс9],0)),"")</f>
        <v>DES, Firehawk</v>
      </c>
      <c r="AA62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2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2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2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383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3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3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3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3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3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4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4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4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4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4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516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5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5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5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5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5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323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6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6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6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6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6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342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0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/>
      </c>
      <c r="Y67" s="196" t="str">
        <f>IFERROR(INDEX(Расходка[Наименование расходного материала],MATCH(Расходка[[#This Row],[№]],Поиск_расходки[Индекс8],0)),"")</f>
        <v>Telescope ™ II 6F</v>
      </c>
      <c r="Z67" s="196" t="str">
        <f>IFERROR(INDEX(Расходка[Наименование расходного материала],MATCH(Расходка[[#This Row],[№]],Поиск_расходки[Индекс9],0)),"")</f>
        <v>Telescope ™ II 6F</v>
      </c>
      <c r="AA67" s="196" t="str">
        <f>IFERROR(INDEX(Расходка[Наименование расходного материала],MATCH(Расходка[[#This Row],[№]],Поиск_расходки[Индекс10],0)),"")</f>
        <v>Telescope ™ II 6F</v>
      </c>
      <c r="AB67" s="196" t="str">
        <f>IFERROR(INDEX(Расходка[Наименование расходного материала],MATCH(Расходка[[#This Row],[№]],Поиск_расходки[Индекс11],0)),"")</f>
        <v>Telescope ™ II 6F</v>
      </c>
      <c r="AC67" s="196" t="str">
        <f>IFERROR(INDEX(Расходка[Наименование расходного материала],MATCH(Расходка[[#This Row],[№]],Поиск_расходки[Индекс12],0)),"")</f>
        <v>Telescope ™ II 6F</v>
      </c>
      <c r="AD67" s="196" t="str">
        <f>IFERROR(INDEX(Расходка[Наименование расходного материала],MATCH(Расходка[[#This Row],[№]],Поиск_расходки[Индекс13],0)),"")</f>
        <v>Telescope ™ II 6F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349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0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/>
      </c>
      <c r="Y68" s="196" t="str">
        <f>IFERROR(INDEX(Расходка[Наименование расходного материала],MATCH(Расходка[[#This Row],[№]],Поиск_расходки[Индекс8],0)),"")</f>
        <v>Launcher 6F AL 1</v>
      </c>
      <c r="Z68" s="196" t="str">
        <f>IFERROR(INDEX(Расходка[Наименование расходного материала],MATCH(Расходка[[#This Row],[№]],Поиск_расходки[Индекс9],0)),"")</f>
        <v>Launcher 6F AL 1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AL 1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AL 1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AL 1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AL 1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350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0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/>
      </c>
      <c r="Y69" s="196" t="str">
        <f>IFERROR(INDEX(Расходка[Наименование расходного материала],MATCH(Расходка[[#This Row],[№]],Поиск_расходки[Индекс8],0)),"")</f>
        <v>Launcher 6F AL 2</v>
      </c>
      <c r="Z69" s="196" t="str">
        <f>IFERROR(INDEX(Расходка[Наименование расходного материала],MATCH(Расходка[[#This Row],[№]],Поиск_расходки[Индекс9],0)),"")</f>
        <v>Launcher 6F AL 2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324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0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/>
      </c>
      <c r="Y70" s="196" t="str">
        <f>IFERROR(INDEX(Расходка[Наименование расходного материала],MATCH(Расходка[[#This Row],[№]],Поиск_расходки[Индекс8],0)),"")</f>
        <v>Launcher 6F EBU 3.5</v>
      </c>
      <c r="Z70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325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/>
      </c>
      <c r="Y71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71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326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0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/>
      </c>
      <c r="Y72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72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327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0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/>
      </c>
      <c r="Y73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73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333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0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/>
      </c>
      <c r="Y74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4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4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328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1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0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/>
      </c>
      <c r="Y75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5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5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5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5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5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329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75</v>
      </c>
      <c r="M76" s="195">
        <f>IF(ISNUMBER(SEARCH('Карта учёта'!$B$21,Расходка[[#This Row],[Наименование расходного материала]])),MAX($M$1:M75)+1,0)</f>
        <v>75</v>
      </c>
      <c r="N76" s="195">
        <f>IF(ISNUMBER(SEARCH('Карта учёта'!$B$22,Расходка[[#This Row],[Наименование расходного материала]])),MAX($N$1:N75)+1,0)</f>
        <v>75</v>
      </c>
      <c r="O76" s="195">
        <f>IF(ISNUMBER(SEARCH('Карта учёта'!$B$23,Расходка[[#This Row],[Наименование расходного материала]])),MAX($O$1:O75)+1,0)</f>
        <v>75</v>
      </c>
      <c r="P76" s="195">
        <f>IF(ISNUMBER(SEARCH('Карта учёта'!$B$24,Расходка[[#This Row],[Наименование расходного материала]])),MAX($P$1:P75)+1,0)</f>
        <v>75</v>
      </c>
      <c r="Q76" s="195">
        <f>IF(ISNUMBER(SEARCH('Карта учёта'!$B$25,Расходка[[#This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6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6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6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6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6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339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76</v>
      </c>
      <c r="M77" s="195">
        <f>IF(ISNUMBER(SEARCH('Карта учёта'!$B$21,Расходка[[#This Row],[Наименование расходного материала]])),MAX($M$1:M76)+1,0)</f>
        <v>76</v>
      </c>
      <c r="N77" s="195">
        <f>IF(ISNUMBER(SEARCH('Карта учёта'!$B$22,Расходка[[#This Row],[Наименование расходного материала]])),MAX($N$1:N76)+1,0)</f>
        <v>76</v>
      </c>
      <c r="O77" s="195">
        <f>IF(ISNUMBER(SEARCH('Карта учёта'!$B$23,Расходка[[#This Row],[Наименование расходного материала]])),MAX($O$1:O76)+1,0)</f>
        <v>76</v>
      </c>
      <c r="P77" s="195">
        <f>IF(ISNUMBER(SEARCH('Карта учёта'!$B$24,Расходка[[#This Row],[Наименование расходного материала]])),MAX($P$1:P76)+1,0)</f>
        <v>76</v>
      </c>
      <c r="Q77" s="195">
        <f>IF(ISNUMBER(SEARCH('Карта учёта'!$B$25,Расходка[[#This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7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7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7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7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7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338</v>
      </c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77</v>
      </c>
      <c r="M78" s="195">
        <f>IF(ISNUMBER(SEARCH('Карта учёта'!$B$21,Расходка[[#This Row],[Наименование расходного материала]])),MAX($M$1:M77)+1,0)</f>
        <v>77</v>
      </c>
      <c r="N78" s="195">
        <f>IF(ISNUMBER(SEARCH('Карта учёта'!$B$22,Расходка[[#This Row],[Наименование расходного материала]])),MAX($N$1:N77)+1,0)</f>
        <v>77</v>
      </c>
      <c r="O78" s="195">
        <f>IF(ISNUMBER(SEARCH('Карта учёта'!$B$23,Расходка[[#This Row],[Наименование расходного материала]])),MAX($O$1:O77)+1,0)</f>
        <v>77</v>
      </c>
      <c r="P78" s="195">
        <f>IF(ISNUMBER(SEARCH('Карта учёта'!$B$24,Расходка[[#This Row],[Наименование расходного материала]])),MAX($P$1:P77)+1,0)</f>
        <v>77</v>
      </c>
      <c r="Q78" s="195">
        <f>IF(ISNUMBER(SEARCH('Карта учёта'!$B$25,Расходка[[#This Row],[Наименование расходного материала]])),MAX($Q$1:Q77)+1,0)</f>
        <v>77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8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8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8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8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8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301</v>
      </c>
      <c r="C79" s="1" t="s">
        <v>330</v>
      </c>
      <c r="AF79" s="4" t="s">
        <v>6</v>
      </c>
      <c r="AG79" s="4" t="s">
        <v>468</v>
      </c>
    </row>
    <row r="80" spans="1:33">
      <c r="AF80" s="4" t="s">
        <v>6</v>
      </c>
      <c r="AG80" s="4" t="s">
        <v>469</v>
      </c>
    </row>
    <row r="81" spans="32:33">
      <c r="AF81" s="4" t="s">
        <v>6</v>
      </c>
      <c r="AG81" s="4" t="s">
        <v>470</v>
      </c>
    </row>
    <row r="82" spans="32:33">
      <c r="AF82" s="4" t="s">
        <v>6</v>
      </c>
      <c r="AG82" s="4" t="s">
        <v>471</v>
      </c>
    </row>
    <row r="83" spans="32:33">
      <c r="AF83" s="4" t="s">
        <v>6</v>
      </c>
      <c r="AG83" s="4" t="s">
        <v>472</v>
      </c>
    </row>
    <row r="84" spans="32:33">
      <c r="AF84" s="4" t="s">
        <v>6</v>
      </c>
      <c r="AG84" s="4" t="s">
        <v>423</v>
      </c>
    </row>
    <row r="85" spans="32:33">
      <c r="AF85" s="4" t="s">
        <v>6</v>
      </c>
      <c r="AG85" s="4" t="s">
        <v>424</v>
      </c>
    </row>
    <row r="86" spans="32:33">
      <c r="AF86" s="4" t="s">
        <v>6</v>
      </c>
      <c r="AG86" s="4" t="s">
        <v>473</v>
      </c>
    </row>
    <row r="87" spans="32:33">
      <c r="AF87" s="4" t="s">
        <v>6</v>
      </c>
      <c r="AG87" s="4" t="s">
        <v>474</v>
      </c>
    </row>
    <row r="88" spans="32:33">
      <c r="AF88" s="4" t="s">
        <v>6</v>
      </c>
      <c r="AG88" s="4" t="s">
        <v>475</v>
      </c>
    </row>
    <row r="89" spans="32:33">
      <c r="AF89" s="4" t="s">
        <v>6</v>
      </c>
      <c r="AG89" s="4" t="s">
        <v>476</v>
      </c>
    </row>
    <row r="90" spans="32:33">
      <c r="AF90" s="4" t="s">
        <v>6</v>
      </c>
      <c r="AG90" s="4" t="s">
        <v>477</v>
      </c>
    </row>
    <row r="91" spans="32:33">
      <c r="AF91" s="4" t="s">
        <v>6</v>
      </c>
      <c r="AG91" s="4" t="s">
        <v>478</v>
      </c>
    </row>
    <row r="92" spans="32:33">
      <c r="AF92" s="4" t="s">
        <v>6</v>
      </c>
      <c r="AG92" s="4" t="s">
        <v>479</v>
      </c>
    </row>
    <row r="93" spans="32:33">
      <c r="AF93" s="4" t="s">
        <v>6</v>
      </c>
      <c r="AG93" s="4" t="s">
        <v>480</v>
      </c>
    </row>
    <row r="94" spans="32:33">
      <c r="AF94" s="4" t="s">
        <v>6</v>
      </c>
      <c r="AG94" s="4" t="s">
        <v>427</v>
      </c>
    </row>
    <row r="95" spans="32:33">
      <c r="AF95" s="4" t="s">
        <v>6</v>
      </c>
      <c r="AG95" s="4" t="s">
        <v>428</v>
      </c>
    </row>
    <row r="96" spans="32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formatCells="0" formatColumns="0"/>
  <phoneticPr fontId="14" type="noConversion"/>
  <dataValidations count="1">
    <dataValidation type="list" allowBlank="1" showInputMessage="1" showErrorMessage="1" sqref="B2:B7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523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2025-01-31T17:12:57Z</cp:lastPrinted>
  <dcterms:created xsi:type="dcterms:W3CDTF">2015-06-05T18:19:34Z</dcterms:created>
  <dcterms:modified xsi:type="dcterms:W3CDTF">2025-01-31T18:19:50Z</dcterms:modified>
</cp:coreProperties>
</file>