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F80" i="1"/>
  <c r="F81" i="1"/>
  <c r="F82" i="1"/>
  <c r="F83" i="1"/>
  <c r="G80" i="1"/>
  <c r="G81" i="1"/>
  <c r="G82" i="1"/>
  <c r="G83" i="1"/>
  <c r="H79" i="1"/>
  <c r="H80" i="1"/>
  <c r="H81" i="1"/>
  <c r="H82" i="1"/>
  <c r="H83" i="1"/>
  <c r="I79" i="1"/>
  <c r="I80" i="1"/>
  <c r="I81" i="1"/>
  <c r="I82" i="1"/>
  <c r="I83" i="1"/>
  <c r="J80" i="1"/>
  <c r="J81" i="1"/>
  <c r="J82" i="1"/>
  <c r="J83" i="1"/>
  <c r="K80" i="1"/>
  <c r="K81" i="1"/>
  <c r="K82" i="1"/>
  <c r="K83" i="1"/>
  <c r="L80" i="1"/>
  <c r="L81" i="1"/>
  <c r="L82" i="1"/>
  <c r="L83" i="1"/>
  <c r="M80" i="1"/>
  <c r="M81" i="1"/>
  <c r="M82" i="1"/>
  <c r="M83" i="1"/>
  <c r="N80" i="1"/>
  <c r="N81" i="1"/>
  <c r="N82" i="1"/>
  <c r="N83" i="1"/>
  <c r="O80" i="1"/>
  <c r="O81" i="1"/>
  <c r="O82" i="1"/>
  <c r="O83" i="1"/>
  <c r="P79" i="1"/>
  <c r="P80" i="1"/>
  <c r="P81" i="1"/>
  <c r="P82" i="1"/>
  <c r="P83" i="1"/>
  <c r="Q79" i="1"/>
  <c r="Q80" i="1"/>
  <c r="Q81" i="1"/>
  <c r="Q82" i="1"/>
  <c r="Q83" i="1"/>
  <c r="R79" i="1"/>
  <c r="R80" i="1"/>
  <c r="R81" i="1"/>
  <c r="R82" i="1"/>
  <c r="R83" i="1"/>
  <c r="S80" i="1"/>
  <c r="S81" i="1"/>
  <c r="S82" i="1"/>
  <c r="S83" i="1"/>
  <c r="T80" i="1"/>
  <c r="T81" i="1"/>
  <c r="T82" i="1"/>
  <c r="T83" i="1"/>
  <c r="U79" i="1"/>
  <c r="U80" i="1"/>
  <c r="U81" i="1"/>
  <c r="U82" i="1"/>
  <c r="U83" i="1"/>
  <c r="V79" i="1"/>
  <c r="V80" i="1"/>
  <c r="V81" i="1"/>
  <c r="V82" i="1"/>
  <c r="V83" i="1"/>
  <c r="W80" i="1"/>
  <c r="W81" i="1"/>
  <c r="W82" i="1"/>
  <c r="W83" i="1"/>
  <c r="X80" i="1"/>
  <c r="X81" i="1"/>
  <c r="X82" i="1"/>
  <c r="X83" i="1"/>
  <c r="Y80" i="1"/>
  <c r="Y81" i="1"/>
  <c r="Y82" i="1"/>
  <c r="Y83" i="1"/>
  <c r="Z80" i="1"/>
  <c r="Z81" i="1"/>
  <c r="Z82" i="1"/>
  <c r="Z83" i="1"/>
  <c r="AA80" i="1"/>
  <c r="AA81" i="1"/>
  <c r="AA82" i="1"/>
  <c r="AA83" i="1"/>
  <c r="AB80" i="1"/>
  <c r="AB81" i="1"/>
  <c r="AB82" i="1"/>
  <c r="AB83" i="1"/>
  <c r="AC79" i="1"/>
  <c r="AC80" i="1"/>
  <c r="AC81" i="1"/>
  <c r="AC82" i="1"/>
  <c r="AC83" i="1"/>
  <c r="AD79" i="1"/>
  <c r="AD80" i="1"/>
  <c r="AD81" i="1"/>
  <c r="AD82" i="1"/>
  <c r="AD83" i="1"/>
  <c r="A65" i="1"/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6" i="1" l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O75" i="1" s="1"/>
  <c r="Q76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7" i="1" l="1"/>
  <c r="O76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AC16" i="1"/>
  <c r="M36" i="1"/>
  <c r="AC22" i="1"/>
  <c r="O78" i="1" l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K51" i="1"/>
  <c r="G50" i="1"/>
  <c r="AD38" i="1"/>
  <c r="N44" i="1"/>
  <c r="AB43" i="1"/>
  <c r="L38" i="1"/>
  <c r="L39" i="1" s="1"/>
  <c r="AB33" i="1"/>
  <c r="M37" i="1"/>
  <c r="AB65" i="1" l="1"/>
  <c r="O79" i="1"/>
  <c r="AB76" i="1"/>
  <c r="AB6" i="1"/>
  <c r="AB63" i="1"/>
  <c r="AB74" i="1"/>
  <c r="AB4" i="1"/>
  <c r="AB57" i="1"/>
  <c r="AB68" i="1"/>
  <c r="AB75" i="1"/>
  <c r="AB5" i="1"/>
  <c r="AB64" i="1"/>
  <c r="AB39" i="1"/>
  <c r="AB41" i="1"/>
  <c r="AB30" i="1"/>
  <c r="AB71" i="1"/>
  <c r="AB61" i="1"/>
  <c r="AB56" i="1"/>
  <c r="AB25" i="1"/>
  <c r="AB21" i="1"/>
  <c r="AB40" i="1"/>
  <c r="AB13" i="1"/>
  <c r="AB78" i="1"/>
  <c r="AB79" i="1"/>
  <c r="AB62" i="1"/>
  <c r="AB16" i="1"/>
  <c r="AB58" i="1"/>
  <c r="AB22" i="1"/>
  <c r="AB34" i="1"/>
  <c r="AB59" i="1"/>
  <c r="AB37" i="1"/>
  <c r="AB19" i="1"/>
  <c r="AB60" i="1"/>
  <c r="AB67" i="1"/>
  <c r="AB17" i="1"/>
  <c r="AB31" i="1"/>
  <c r="AB18" i="1"/>
  <c r="AB36" i="1"/>
  <c r="AB42" i="1"/>
  <c r="AB66" i="1"/>
  <c r="AB15" i="1"/>
  <c r="AB29" i="1"/>
  <c r="AB7" i="1"/>
  <c r="AB32" i="1"/>
  <c r="AB70" i="1"/>
  <c r="AB26" i="1"/>
  <c r="AB72" i="1"/>
  <c r="AB69" i="1"/>
  <c r="AB73" i="1"/>
  <c r="AB77" i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F79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66" i="1" l="1"/>
  <c r="S79" i="1"/>
  <c r="S3" i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U38" i="1" l="1"/>
  <c r="U15" i="1"/>
  <c r="U18" i="1"/>
  <c r="U32" i="1"/>
  <c r="U17" i="1"/>
  <c r="U13" i="1"/>
  <c r="U7" i="1"/>
  <c r="U20" i="1"/>
  <c r="U24" i="1"/>
  <c r="U30" i="1"/>
  <c r="U12" i="1"/>
  <c r="U31" i="1"/>
  <c r="U5" i="1"/>
  <c r="U8" i="1"/>
  <c r="U28" i="1"/>
  <c r="U6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J79" i="1" l="1"/>
  <c r="W79" i="1" s="1"/>
  <c r="W73" i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68" i="1"/>
  <c r="V72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3" i="1" l="1"/>
  <c r="V9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K79" i="1" s="1"/>
  <c r="X25" i="1" s="1"/>
  <c r="AC68" i="1"/>
  <c r="G74" i="1"/>
  <c r="G75" i="1" s="1"/>
  <c r="P74" i="1"/>
  <c r="N72" i="1"/>
  <c r="L67" i="1"/>
  <c r="M61" i="1"/>
  <c r="X21" i="1" l="1"/>
  <c r="X63" i="1"/>
  <c r="X18" i="1"/>
  <c r="X31" i="1"/>
  <c r="X28" i="1"/>
  <c r="X58" i="1"/>
  <c r="X22" i="1"/>
  <c r="X19" i="1"/>
  <c r="X27" i="1"/>
  <c r="X35" i="1"/>
  <c r="X20" i="1"/>
  <c r="X79" i="1"/>
  <c r="X49" i="1"/>
  <c r="X2" i="1"/>
  <c r="X36" i="1"/>
  <c r="X75" i="1"/>
  <c r="X46" i="1"/>
  <c r="X15" i="1"/>
  <c r="X17" i="1"/>
  <c r="N73" i="1"/>
  <c r="N74" i="1" s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G78" i="1" l="1"/>
  <c r="G79" i="1" s="1"/>
  <c r="P76" i="1"/>
  <c r="N75" i="1"/>
  <c r="L69" i="1"/>
  <c r="M63" i="1"/>
  <c r="M64" i="1" s="1"/>
  <c r="M65" i="1" s="1"/>
  <c r="M66" i="1" s="1"/>
  <c r="T3" i="1" l="1"/>
  <c r="T79" i="1"/>
  <c r="T77" i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C77" i="1" l="1"/>
  <c r="N78" i="1"/>
  <c r="N79" i="1" s="1"/>
  <c r="AA79" i="1" s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M72" i="1"/>
  <c r="L79" i="1" l="1"/>
  <c r="Y2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Y78" i="1" l="1"/>
  <c r="Y12" i="1"/>
  <c r="Y58" i="1"/>
  <c r="Y42" i="1"/>
  <c r="Y16" i="1"/>
  <c r="Y44" i="1"/>
  <c r="Y7" i="1"/>
  <c r="Y24" i="1"/>
  <c r="Y38" i="1"/>
  <c r="Y26" i="1"/>
  <c r="Y18" i="1"/>
  <c r="Y50" i="1"/>
  <c r="Y19" i="1"/>
  <c r="Y21" i="1"/>
  <c r="Y29" i="1"/>
  <c r="Y33" i="1"/>
  <c r="Y39" i="1"/>
  <c r="Y54" i="1"/>
  <c r="Y5" i="1"/>
  <c r="Y13" i="1"/>
  <c r="Y37" i="1"/>
  <c r="Y28" i="1"/>
  <c r="Y32" i="1"/>
  <c r="Y53" i="1"/>
  <c r="Y22" i="1"/>
  <c r="Y6" i="1"/>
  <c r="Y31" i="1"/>
  <c r="Y61" i="1"/>
  <c r="Y57" i="1"/>
  <c r="Y23" i="1"/>
  <c r="Y75" i="1"/>
  <c r="Y64" i="1"/>
  <c r="Y65" i="1"/>
  <c r="Y73" i="1"/>
  <c r="Y69" i="1"/>
  <c r="Y72" i="1"/>
  <c r="Y70" i="1"/>
  <c r="Y79" i="1"/>
  <c r="M74" i="1"/>
  <c r="M75" i="1" s="1"/>
  <c r="M76" i="1" l="1"/>
  <c r="M77" i="1" l="1"/>
  <c r="M78" i="1" l="1"/>
  <c r="M79" i="1" s="1"/>
  <c r="Z78" i="1" l="1"/>
  <c r="Z79" i="1"/>
  <c r="Z2" i="1"/>
  <c r="Z75" i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<sst xmlns="http://schemas.openxmlformats.org/spreadsheetml/2006/main" count="900" uniqueCount="542">
  <si>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</si>
  <si>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</si>
  <si>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</si>
  <si>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</si>
  <si>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</si>
  <si>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</si>
  <si>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</si>
  <si>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</si>
  <si>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</si>
  <si>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</si>
  <si>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</si>
  <si>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</si>
  <si>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</si>
  <si>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</si>
  <si>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</si>
  <si>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</si>
  <si>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</si>
  <si>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</si>
  <si>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</si>
  <si>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</si>
  <si>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</si>
  <si>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</si>
  <si>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</si>
  <si>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</si>
  <si>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</si>
  <si>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</si>
  <si>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</si>
  <si>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</si>
  <si>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</si>
  <si>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</si>
  <si>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</si>
  <si>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</si>
  <si>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</si>
  <si>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</si>
  <si>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</si>
  <si>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</si>
  <si>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</si>
  <si>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</si>
  <si>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</si>
  <si>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</si>
  <si>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</si>
  <si>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</si>
  <si>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</si>
  <si>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</si>
  <si>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</si>
  <si>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</si>
  <si>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</si>
  <si>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</si>
  <si>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</si>
  <si>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</si>
  <si>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</si>
  <si>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</si>
  <si>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</si>
  <si>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</si>
  <si>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</si>
  <si>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</si>
  <si>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</si>
  <si>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</si>
  <si>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</si>
  <si>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</si>
  <si>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</si>
  <si>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</si>
  <si>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</si>
  <si>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</si>
  <si>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</si>
  <si>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</si>
  <si>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</si>
  <si>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</si>
  <si>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</si>
  <si>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</si>
  <si>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</si>
  <si>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</si>
  <si>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</si>
  <si>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</si>
  <si>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</si>
  <si>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</si>
  <si>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</si>
  <si>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</si>
  <si>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</si>
  <si>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</si>
  <si>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</si>
  <si>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</si>
  <si>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</si>
  <si>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</si>
  <si>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</si>
  <si>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</si>
  <si>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</si>
  <si>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</si>
  <si>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</si>
  <si>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</si>
  <si>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</si>
  <si>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</si>
  <si>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</si>
  <si>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</si>
  <si>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</si>
  <si>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</si>
  <si>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</si>
  <si>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</si>
  <si>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</si>
  <si>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</si>
  <si>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</si>
  <si>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</si>
  <si>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</si>
  <si>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</si>
  <si>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</si>
  <si>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</si>
  <si>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</si>
  <si>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</si>
  <si>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</si>
  <si>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</si>
  <si>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</si>
  <si>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</si>
  <si>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</si>
  <si>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</si>
  <si>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</si>
  <si>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</si>
  <si>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</si>
  <si>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</si>
  <si>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</si>
  <si>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</si>
  <si>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</si>
  <si>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</si>
  <si>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</si>
  <si>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</si>
  <si>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</si>
  <si>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</si>
  <si>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</si>
  <si>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</si>
  <si>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</si>
  <si>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</si>
  <si>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</si>
  <si>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</si>
  <si>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</si>
  <si>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</si>
  <si>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</si>
  <si>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</si>
  <si>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</si>
  <si>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</si>
  <si>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</si>
  <si>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</si>
  <si>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</si>
  <si>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</si>
  <si>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</si>
  <si>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</si>
  <si>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</si>
  <si>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</si>
  <si>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</si>
  <si>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</si>
  <si>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</si>
  <si>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</si>
  <si>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</si>
  <si>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</si>
  <si>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</si>
  <si>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</si>
  <si>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</si>
  <si>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</si>
  <si>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</si>
  <si>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</si>
  <si>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</si>
  <si>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</si>
  <si>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</si>
  <si>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</si>
  <si>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</si>
  <si>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</si>
  <si>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</si>
  <si>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</si>
  <si>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</si>
  <si>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</si>
  <si>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</si>
  <si>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</si>
  <si>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</si>
  <si>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</si>
  <si>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</si>
  <si>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</si>
  <si>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</si>
  <si>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</si>
  <si>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</si>
  <si>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</si>
  <si>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</si>
  <si>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</si>
  <si>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</si>
  <si>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</si>
  <si>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</si>
  <si>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</si>
  <si>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</si>
  <si>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</si>
  <si>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</si>
  <si>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</si>
  <si>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</si>
  <si>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</si>
  <si>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</si>
  <si>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</si>
  <si>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</si>
  <si>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</si>
  <si>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</si>
  <si>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</si>
  <si>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</si>
  <si>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</si>
  <si>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</si>
  <si>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</si>
  <si>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</si>
  <si>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</si>
  <si>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</si>
  <si>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</si>
  <si>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</si>
  <si>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</si>
  <si>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</si>
  <si>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</si>
  <si>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</si>
  <si>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</si>
  <si>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</si>
  <si>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</si>
  <si>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</si>
  <si>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</si>
  <si>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</si>
  <si>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</si>
  <si>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</si>
  <si>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</si>
  <si>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</si>
  <si>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</si>
  <si>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</si>
  <si>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</si>
  <si>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</si>
  <si>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</si>
  <si>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</si>
  <si>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</si>
  <si>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</si>
  <si>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</si>
  <si>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</si>
  <si>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</si>
  <si>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</si>
  <si>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</si>
  <si>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</si>
  <si>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</si>
  <si>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</si>
  <si>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</si>
  <si>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</si>
  <si>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</si>
  <si>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</si>
  <si>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</si>
  <si>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</si>
  <si>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</si>
  <si>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</si>
  <si>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</si>
  <si>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</si>
  <si>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</si>
  <si>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</si>
  <si>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</si>
  <si>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</si>
  <si>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</si>
  <si>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</si>
  <si>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</si>
  <si>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</si>
  <si>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</si>
  <si>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</si>
  <si>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</si>
  <si>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</si>
  <si>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</si>
  <si>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</si>
  <si>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</si>
  <si>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</si>
  <si>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</si>
  <si>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</si>
  <si>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</si>
  <si>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</si>
  <si>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</si>
  <si>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</si>
  <si>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</si>
  <si>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</si>
  <si>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</si>
  <si>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</si>
  <si>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</si>
  <si>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</si>
  <si>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</si>
  <si>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</si>
  <si>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</si>
  <si>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</si>
  <si>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</si>
  <si>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</si>
  <si>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</si>
  <si>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</si>
  <si>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</si>
  <si>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</si>
  <si>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</si>
  <si>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</si>
  <si>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</si>
  <si>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</si>
  <si>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</si>
  <si>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</si>
  <si>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</si>
  <si>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</si>
  <si>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</si>
  <si>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</si>
  <si>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</si>
  <si>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</si>
  <si>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</si>
  <si>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</si>
  <si>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</si>
  <si>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</si>
  <si>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</si>
  <si>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</si>
  <si>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</si>
  <si>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</si>
  <si>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</si>
  <si>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</si>
  <si>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</si>
  <si>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</si>
  <si>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</si>
  <si>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</si>
  <si>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</si>
  <si>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</si>
  <si>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</si>
  <si>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</si>
  <si>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</si>
  <si>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</si>
  <si>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</si>
  <si>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</si>
  <si>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</si>
  <si>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</si>
  <si>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</si>
  <si>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</si>
  <si>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</si>
  <si>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</si>
  <si>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</si>
  <si>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</si>
  <si>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</si>
  <si>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</si>
  <si>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</si>
  <si>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</si>
  <si>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</si>
  <si>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</si>
  <si>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</si>
  <si>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</si>
  <si>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</si>
  <si>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</si>
  <si>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</si>
  <si>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</si>
  <si>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</si>
  <si>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</si>
  <si>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</si>
  <si>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</si>
  <si>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</si>
  <si>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</si>
  <si>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</si>
  <si>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</si>
  <si>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</si>
  <si>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</si>
  <si>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</si>
  <si>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</si>
  <si>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</si>
  <si>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</si>
  <si>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</si>
  <si>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</si>
  <si>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</si>
  <si>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</si>
  <si>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</si>
  <si>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</si>
  <si>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</si>
  <si>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</si>
  <si>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</si>
  <si>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</si>
  <si>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</si>
  <si>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</si>
  <si>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</si>
  <si>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</si>
  <si>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</si>
  <si>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</si>
  <si>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</si>
  <si>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</si>
  <si>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</si>
  <si>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</si>
  <si>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</si>
  <si>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</si>
  <si>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</si>
  <si>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</si>
  <si>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</si>
  <si>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</si>
  <si>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</si>
  <si>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</si>
  <si>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</si>
  <si>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</si>
  <si>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</si>
  <si>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</si>
  <si>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</si>
  <si>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</si>
  <si>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</si>
  <si>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</si>
  <si>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</si>
  <si>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</si>
  <si>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</si>
  <si>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</si>
  <si>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</si>
  <si>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</si>
  <si>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</si>
  <si>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</si>
  <si>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</si>
  <si>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</si>
  <si>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</si>
  <si>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</si>
  <si>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</si>
  <si>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</si>
  <si>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</si>
  <si>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</si>
  <si>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</si>
  <si>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</si>
  <si>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</si>
  <si>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</si>
  <si>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</si>
  <si>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</si>
  <si>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</si>
  <si>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</si>
  <si>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</si>
  <si>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</si>
  <si>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</si>
  <si>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</si>
  <si>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</si>
  <si>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</si>
  <si>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</si>
  <si>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</si>
  <si>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</si>
  <si>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</si>
  <si>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</si>
  <si>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</si>
  <si>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</si>
  <si>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</si>
  <si>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</si>
  <si>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</si>
  <si>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</si>
  <si>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</si>
  <si>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</si>
  <si>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</si>
  <si>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</si>
  <si>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</si>
  <si>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</si>
  <si>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</si>
  <si>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</si>
  <si>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</si>
  <si>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</si>
  <si>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</si>
  <si>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</si>
  <si>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</si>
  <si>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</si>
  <si>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</si>
  <si>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</si>
  <si>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</si>
  <si>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</si>
  <si>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</si>
  <si>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</si>
  <si>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</si>
  <si>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</si>
  <si>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</si>
  <si>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</si>
  <si>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</si>
  <si>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</si>
  <si>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</si>
  <si>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</si>
  <si>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</si>
  <si>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</si>
  <si>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</si>
  <si>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</si>
  <si>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</si>
  <si>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</si>
  <si>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</si>
  <si>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</si>
  <si>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</si>
  <si>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</si>
  <si>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</si>
  <si>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</si>
  <si>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</si>
  <si>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</si>
  <si>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</si>
  <si>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</si>
  <si>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</si>
  <si>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</si>
  <si>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</si>
  <si>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</si>
  <si>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</si>
  <si>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</si>
  <si>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</si>
  <si>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</si>
  <si>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</si>
  <si>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</si>
  <si>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</si>
  <si>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</si>
  <si>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</si>
  <si>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</si>
  <si>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</si>
  <si>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</si>
  <si>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</si>
  <si>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</si>
  <si>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</si>
  <si>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</si>
  <si>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</si>
  <si>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</si>
  <si>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</si>
  <si>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</si>
  <si>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</si>
  <si>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</si>
  <si>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</si>
  <si>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</si>
  <si>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</si>
  <si>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</si>
  <si>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</si>
  <si>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</si>
  <si>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</si>
  <si>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</si>
  <si>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</si>
  <si>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</si>
  <si>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</si>
  <si>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</si>
  <si>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</si>
  <si>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</si>
  <si>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</si>
  <si>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</si>
  <si>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</si>
  <si>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</si>
  <si>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</si>
  <si>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</si>
  <si>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</si>
  <si>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</si>
  <si>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</si>
  <si>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</si>
  <si>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</si>
  <si>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</si>
  <si>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</si>
  <si>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</si>
  <si>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</si>
  <si>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</si>
  <si>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</si>
  <si>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>Metafor</t>
  </si>
  <si>
    <t>проходим, контуры ровные</t>
  </si>
  <si>
    <t>12:00</t>
  </si>
  <si>
    <t>4600</t>
  </si>
  <si>
    <t>Ленивков С.В.</t>
  </si>
  <si>
    <t xml:space="preserve">неровности контуров проксимального сегмента. Антеградный кровоток TIMI III.  </t>
  </si>
  <si>
    <t>Правый</t>
  </si>
  <si>
    <r>
      <t xml:space="preserve">на границе проксимального и среднего сегментов определяется тотальная оккллюзия, TTG1, Rentrop 0. Антеградный кровоток TIMI I. </t>
    </r>
    <r>
      <rPr>
        <b/>
        <sz val="12"/>
        <color theme="1"/>
        <rFont val="Arial Narrow"/>
        <family val="2"/>
        <charset val="204"/>
      </rPr>
      <t/>
    </r>
  </si>
  <si>
    <t xml:space="preserve">стеноз проксимального сегмента до 50%, эксцентричный стеноз среднего сегмента 70% .   Антеградный кровоток - TIMI III. </t>
  </si>
  <si>
    <t>Экстренная реваскуляризация бассейна ПНА.</t>
  </si>
  <si>
    <t>100 ml</t>
  </si>
  <si>
    <t>Устье ствола ЛКА катетеризировано проводниковым катетером Launcher EBU 3,5 6Fr.  Коронарный проводник shunmei 0/7 проведен  в дистальный сегмент ПНА. Реканализация артерии выполнена БК Колибри 2.0 - 15 мм. В зону остаточного нестабилльного значимого стеноза среднего  сегмента с частичным покрытием проксимального сегмента  имплантирован DES Resolute Integrity  3,5 х 38 мм, давлением 8 атм. Оптимизация стента на всем протяжении БК NC Аксиома 3.5-18, давлением до 16 атм. На контрольных съемках стент  раскрыт 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ПНА востановлен до  TIMI III. Пациент транспортируется в ПРИТ для дальнейшего наблюдения и лечения.</t>
  </si>
  <si>
    <t>1) Контроль места пункции, повязка  на руке до 6 ч. 2) Технически выполнимо стентирование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</si>
</sst>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Arial Narrow"/>
      <family val="2"/>
      <charset val="204"/>
    </font>
    <font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4" fillId="9" borderId="21" applyNumberFormat="0" applyAlignment="0" applyProtection="0"/>
    <xf numFmtId="0" fontId="2" fillId="14" borderId="0" applyNumberFormat="0" applyBorder="0" applyAlignment="0" applyProtection="0"/>
  </cellStyleXfs>
  <cellXfs count="2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7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4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0" fillId="0" borderId="0" xfId="0" applyFont="1" applyAlignment="1">
      <alignment vertical="top"/>
    </xf>
    <xf numFmtId="0" fontId="30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41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46" fillId="9" borderId="21" xfId="7" applyFont="1" applyAlignment="1">
      <alignment horizontal="left" vertical="center"/>
    </xf>
    <xf numFmtId="14" fontId="45" fillId="9" borderId="22" xfId="7" applyNumberFormat="1" applyFont="1" applyBorder="1" applyAlignment="1" applyProtection="1">
      <alignment horizontal="right" vertical="center"/>
    </xf>
    <xf numFmtId="0" fontId="45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46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8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5" fillId="0" borderId="0" xfId="0" applyFont="1" applyAlignment="1">
      <alignment horizontal="centerContinuous" vertical="center"/>
    </xf>
    <xf numFmtId="0" fontId="47" fillId="0" borderId="0" xfId="0" applyFont="1" applyAlignment="1" applyProtection="1">
      <alignment vertical="top" wrapText="1"/>
      <protection locked="0"/>
    </xf>
    <xf numFmtId="0" fontId="50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46" fillId="9" borderId="23" xfId="7" applyFont="1" applyBorder="1" applyAlignment="1">
      <alignment horizontal="left" vertical="center"/>
    </xf>
    <xf numFmtId="0" fontId="44" fillId="9" borderId="12" xfId="7" applyBorder="1" applyAlignment="1" applyProtection="1">
      <alignment horizontal="left" vertical="center"/>
    </xf>
    <xf numFmtId="0" fontId="44" fillId="9" borderId="24" xfId="7" applyBorder="1" applyAlignment="1" applyProtection="1">
      <alignment horizontal="justify" vertical="justify" wrapText="1"/>
    </xf>
    <xf numFmtId="0" fontId="44" fillId="9" borderId="24" xfId="7" applyBorder="1" applyAlignment="1" applyProtection="1">
      <alignment horizontal="justify" vertical="top" wrapText="1"/>
    </xf>
    <xf numFmtId="0" fontId="52" fillId="0" borderId="25" xfId="0" applyFont="1" applyBorder="1" applyAlignment="1" applyProtection="1">
      <alignment horizontal="center" vertical="center"/>
      <protection locked="0"/>
    </xf>
    <xf numFmtId="0" fontId="53" fillId="4" borderId="28" xfId="0" applyFont="1" applyFill="1" applyBorder="1" applyAlignment="1">
      <alignment horizontal="center" vertical="center"/>
    </xf>
    <xf numFmtId="0" fontId="53" fillId="4" borderId="29" xfId="0" applyFont="1" applyFill="1" applyBorder="1" applyAlignment="1">
      <alignment horizontal="center" vertical="center"/>
    </xf>
    <xf numFmtId="0" fontId="53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2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2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2" fillId="0" borderId="35" xfId="0" applyFont="1" applyBorder="1" applyAlignment="1" applyProtection="1">
      <alignment horizontal="center" vertical="center"/>
      <protection locked="0"/>
    </xf>
    <xf numFmtId="0" fontId="52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1" fillId="9" borderId="38" xfId="7" applyNumberFormat="1" applyFont="1" applyBorder="1" applyAlignment="1">
      <alignment horizontal="left" vertical="center"/>
    </xf>
    <xf numFmtId="14" fontId="45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2" fillId="0" borderId="26" xfId="0" applyFont="1" applyBorder="1" applyAlignment="1" applyProtection="1">
      <alignment horizontal="justify" vertical="center" wrapText="1"/>
      <protection locked="0"/>
    </xf>
    <xf numFmtId="0" fontId="52" fillId="0" borderId="25" xfId="0" applyFont="1" applyBorder="1" applyAlignment="1" applyProtection="1">
      <alignment horizontal="justify" vertical="center" wrapText="1"/>
      <protection locked="0"/>
    </xf>
    <xf numFmtId="16" fontId="52" fillId="0" borderId="25" xfId="0" applyNumberFormat="1" applyFont="1" applyBorder="1" applyAlignment="1" applyProtection="1">
      <alignment horizontal="justify" vertical="center" wrapText="1"/>
      <protection locked="0"/>
    </xf>
    <xf numFmtId="0" fontId="52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4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2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57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3" fillId="0" borderId="20" xfId="0" applyNumberFormat="1" applyFont="1" applyBorder="1" applyAlignment="1" applyProtection="1">
      <alignment horizontal="left" vertical="center" wrapText="1"/>
      <protection locked="0"/>
    </xf>
    <xf numFmtId="0" fontId="58" fillId="0" borderId="0" xfId="0" applyFont="1" applyAlignment="1">
      <alignment horizontal="centerContinuous" vertical="top" wrapText="1"/>
    </xf>
    <xf numFmtId="0" fontId="58" fillId="0" borderId="13" xfId="0" applyFont="1" applyBorder="1" applyAlignment="1">
      <alignment horizontal="centerContinuous" vertical="top" wrapText="1"/>
    </xf>
    <xf numFmtId="0" fontId="59" fillId="0" borderId="12" xfId="0" applyFont="1" applyBorder="1" applyAlignment="1" applyProtection="1">
      <alignment vertical="top" wrapText="1"/>
      <protection locked="0"/>
    </xf>
    <xf numFmtId="0" fontId="60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59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1" fillId="0" borderId="0" xfId="0" applyFont="1" applyAlignment="1" applyProtection="1">
      <alignment vertical="top" wrapText="1"/>
      <protection locked="0"/>
    </xf>
    <xf numFmtId="49" fontId="43" fillId="0" borderId="20" xfId="0" applyNumberFormat="1" applyFont="1" applyBorder="1" applyAlignment="1">
      <alignment horizontal="left" vertical="center" wrapText="1"/>
    </xf>
    <xf numFmtId="0" fontId="43" fillId="0" borderId="20" xfId="0" applyFont="1" applyBorder="1" applyAlignment="1">
      <alignment horizontal="left" vertical="center" wrapText="1"/>
    </xf>
    <xf numFmtId="14" fontId="52" fillId="0" borderId="25" xfId="0" applyNumberFormat="1" applyFont="1" applyBorder="1" applyAlignment="1" applyProtection="1">
      <alignment horizontal="center" vertical="center"/>
      <protection locked="0"/>
    </xf>
    <xf numFmtId="0" fontId="58" fillId="0" borderId="12" xfId="0" applyFont="1" applyBorder="1" applyAlignment="1">
      <alignment horizontal="centerContinuous"/>
    </xf>
    <xf numFmtId="0" fontId="16" fillId="0" borderId="13" xfId="0" applyFont="1" applyBorder="1" applyAlignment="1" applyProtection="1">
      <alignment horizontal="fill" vertical="center"/>
      <protection hidden="1"/>
    </xf>
    <xf numFmtId="14" fontId="52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4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4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7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43" fillId="0" borderId="11" xfId="0" applyFont="1" applyBorder="1" applyAlignment="1">
      <alignment horizontal="right" vertical="top"/>
    </xf>
    <xf numFmtId="0" fontId="63" fillId="0" borderId="12" xfId="0" applyFont="1" applyBorder="1" applyAlignment="1">
      <alignment horizontal="left" vertical="center"/>
    </xf>
    <xf numFmtId="0" fontId="37" fillId="0" borderId="0" xfId="0" applyFont="1" applyAlignment="1" applyProtection="1">
      <alignment vertical="center"/>
      <protection locked="0"/>
    </xf>
    <xf numFmtId="0" fontId="0" fillId="0" borderId="0" xfId="0" applyFont="1"/>
    <xf numFmtId="0" fontId="63" fillId="0" borderId="0" xfId="0" applyFont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63" fillId="0" borderId="10" xfId="0" applyFont="1" applyBorder="1" applyAlignment="1">
      <alignment horizontal="left" vertical="top" wrapText="1"/>
    </xf>
    <xf numFmtId="0" fontId="37" fillId="0" borderId="0" xfId="0" applyFont="1"/>
    <xf numFmtId="0" fontId="64" fillId="0" borderId="0" xfId="0" applyFont="1" applyAlignment="1">
      <alignment vertical="top" wrapText="1"/>
    </xf>
    <xf numFmtId="0" fontId="37" fillId="0" borderId="8" xfId="0" applyFont="1" applyBorder="1"/>
    <xf numFmtId="0" fontId="37" fillId="0" borderId="3" xfId="0" applyFont="1" applyBorder="1"/>
    <xf numFmtId="0" fontId="64" fillId="0" borderId="3" xfId="0" applyFont="1" applyBorder="1" applyAlignment="1">
      <alignment vertical="top" wrapText="1"/>
    </xf>
    <xf numFmtId="0" fontId="37" fillId="0" borderId="9" xfId="0" applyFont="1" applyBorder="1"/>
    <xf numFmtId="0" fontId="64" fillId="0" borderId="8" xfId="0" applyFont="1" applyBorder="1" applyAlignment="1">
      <alignment vertical="top" wrapText="1"/>
    </xf>
    <xf numFmtId="0" fontId="37" fillId="0" borderId="12" xfId="0" applyFont="1" applyBorder="1"/>
    <xf numFmtId="0" fontId="64" fillId="0" borderId="12" xfId="0" applyFont="1" applyBorder="1" applyAlignment="1">
      <alignment vertical="top" wrapText="1"/>
    </xf>
    <xf numFmtId="0" fontId="37" fillId="0" borderId="0" xfId="0" applyFont="1" applyAlignment="1" applyProtection="1">
      <alignment horizontal="left"/>
      <protection locked="0"/>
    </xf>
    <xf numFmtId="0" fontId="65" fillId="0" borderId="0" xfId="0" applyFont="1" applyAlignment="1">
      <alignment horizontal="left"/>
    </xf>
    <xf numFmtId="0" fontId="17" fillId="0" borderId="12" xfId="0" applyFont="1" applyBorder="1"/>
    <xf numFmtId="0" fontId="16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6" fillId="6" borderId="7" xfId="4" applyNumberFormat="1" applyFont="1" applyBorder="1" applyAlignment="1" applyProtection="1">
      <alignment horizontal="left" vertical="center"/>
      <protection locked="0"/>
    </xf>
    <xf numFmtId="0" fontId="27" fillId="0" borderId="0" xfId="0" applyFont="1" applyAlignment="1">
      <alignment vertical="top"/>
    </xf>
    <xf numFmtId="20" fontId="16" fillId="0" borderId="13" xfId="0" applyNumberFormat="1" applyFont="1" applyBorder="1" applyAlignment="1" applyProtection="1">
      <alignment horizontal="left" wrapText="1"/>
      <protection locked="0"/>
    </xf>
    <xf numFmtId="0" fontId="2" fillId="14" borderId="0" xfId="8"/>
    <xf numFmtId="0" fontId="62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5" fillId="0" borderId="0" xfId="0" applyFont="1" applyAlignment="1">
      <alignment horizontal="left" vertical="center" wrapText="1"/>
    </xf>
    <xf numFmtId="0" fontId="49" fillId="0" borderId="0" xfId="0" applyFont="1" applyAlignment="1" applyProtection="1">
      <alignment horizontal="justify" vertical="top" wrapText="1"/>
      <protection locked="0"/>
    </xf>
    <xf numFmtId="0" fontId="49" fillId="0" borderId="13" xfId="0" applyFont="1" applyBorder="1" applyAlignment="1" applyProtection="1">
      <alignment horizontal="justify" vertical="top" wrapText="1"/>
      <protection locked="0"/>
    </xf>
    <xf numFmtId="0" fontId="36" fillId="0" borderId="12" xfId="0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 applyProtection="1">
      <alignment horizontal="center" vertical="center" wrapText="1"/>
      <protection locked="0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49" fillId="0" borderId="5" xfId="0" applyFont="1" applyBorder="1" applyAlignment="1" applyProtection="1">
      <alignment horizontal="justify" vertical="top" wrapText="1"/>
      <protection locked="0"/>
    </xf>
    <xf numFmtId="0" fontId="49" fillId="0" borderId="11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justify" vertical="top" wrapText="1"/>
      <protection locked="0"/>
    </xf>
    <xf numFmtId="0" fontId="49" fillId="0" borderId="9" xfId="0" applyFont="1" applyBorder="1" applyAlignment="1" applyProtection="1">
      <alignment horizontal="justify" vertical="top" wrapText="1"/>
      <protection locked="0"/>
    </xf>
    <xf numFmtId="0" fontId="68" fillId="0" borderId="5" xfId="0" applyFont="1" applyBorder="1" applyAlignment="1" applyProtection="1">
      <alignment horizontal="justify" vertical="top" wrapText="1"/>
      <protection locked="0"/>
    </xf>
    <xf numFmtId="0" fontId="55" fillId="0" borderId="10" xfId="0" applyFont="1" applyBorder="1" applyAlignment="1">
      <alignment horizontal="justify" vertical="distributed" wrapText="1"/>
    </xf>
    <xf numFmtId="0" fontId="55" fillId="0" borderId="5" xfId="0" applyFont="1" applyBorder="1" applyAlignment="1">
      <alignment wrapText="1"/>
    </xf>
    <xf numFmtId="0" fontId="55" fillId="0" borderId="11" xfId="0" applyFont="1" applyBorder="1" applyAlignment="1">
      <alignment wrapText="1"/>
    </xf>
    <xf numFmtId="0" fontId="55" fillId="0" borderId="12" xfId="0" applyFont="1" applyBorder="1" applyAlignment="1">
      <alignment wrapText="1"/>
    </xf>
    <xf numFmtId="0" fontId="55" fillId="0" borderId="0" xfId="0" applyFont="1" applyAlignment="1">
      <alignment wrapText="1"/>
    </xf>
    <xf numFmtId="0" fontId="55" fillId="0" borderId="13" xfId="0" applyFont="1" applyBorder="1" applyAlignment="1">
      <alignment wrapText="1"/>
    </xf>
    <xf numFmtId="0" fontId="55" fillId="0" borderId="8" xfId="0" applyFont="1" applyBorder="1" applyAlignment="1">
      <alignment wrapText="1"/>
    </xf>
    <xf numFmtId="0" fontId="55" fillId="0" borderId="3" xfId="0" applyFont="1" applyBorder="1" applyAlignment="1">
      <alignment wrapText="1"/>
    </xf>
    <xf numFmtId="0" fontId="55" fillId="0" borderId="9" xfId="0" applyFont="1" applyBorder="1" applyAlignment="1">
      <alignment wrapText="1"/>
    </xf>
    <xf numFmtId="0" fontId="22" fillId="0" borderId="3" xfId="0" applyFont="1" applyBorder="1" applyAlignment="1" applyProtection="1">
      <alignment horizontal="left" vertical="center"/>
      <protection locked="0"/>
    </xf>
    <xf numFmtId="0" fontId="33" fillId="0" borderId="12" xfId="0" applyFont="1" applyBorder="1" applyAlignment="1" applyProtection="1">
      <alignment horizontal="center" vertical="distributed" wrapText="1"/>
      <protection locked="0"/>
    </xf>
    <xf numFmtId="0" fontId="33" fillId="0" borderId="0" xfId="0" applyFont="1" applyAlignment="1" applyProtection="1">
      <alignment horizontal="center" vertical="distributed" wrapText="1"/>
      <protection locked="0"/>
    </xf>
    <xf numFmtId="0" fontId="33" fillId="0" borderId="13" xfId="0" applyFont="1" applyBorder="1" applyAlignment="1" applyProtection="1">
      <alignment horizontal="center" vertical="distributed" wrapText="1"/>
      <protection locked="0"/>
    </xf>
    <xf numFmtId="0" fontId="48" fillId="0" borderId="3" xfId="0" applyFont="1" applyBorder="1" applyAlignment="1" applyProtection="1">
      <alignment horizontal="left" vertical="center"/>
      <protection locked="0"/>
    </xf>
    <xf numFmtId="0" fontId="48" fillId="0" borderId="4" xfId="0" applyFont="1" applyBorder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justify" vertical="top" wrapText="1"/>
      <protection locked="0"/>
    </xf>
    <xf numFmtId="0" fontId="38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9">
    <cellStyle name="1" xfId="1"/>
    <cellStyle name="20% - Акцент2" xfId="4" builtinId="34"/>
    <cellStyle name="20% - Акцент3" xfId="6" builtinId="38"/>
    <cellStyle name="20% - Акцент5" xfId="8" builtinId="46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44" sqref="I44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8" t="s">
        <v>213</v>
      </c>
      <c r="B6" s="229"/>
      <c r="C6" s="229"/>
      <c r="D6" s="229"/>
      <c r="E6" s="229"/>
      <c r="F6" s="229"/>
      <c r="G6" s="229"/>
      <c r="H6" s="230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45681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0.89583333333333337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0.90277777777777779</v>
      </c>
      <c r="C10" s="51"/>
      <c r="D10" s="83" t="s">
        <v>173</v>
      </c>
      <c r="E10" s="81"/>
      <c r="F10" s="81"/>
      <c r="G10" s="22" t="s">
        <v>147</v>
      </c>
      <c r="H10" s="24"/>
    </row>
    <row r="11" spans="1:8" ht="17.25" thickTop="1" thickBot="1">
      <c r="A11" s="77" t="s">
        <v>192</v>
      </c>
      <c r="B11" s="185" t="s">
        <v>533</v>
      </c>
      <c r="C11" s="8"/>
      <c r="D11" s="83" t="s">
        <v>170</v>
      </c>
      <c r="E11" s="81"/>
      <c r="F11" s="81"/>
      <c r="G11" s="22" t="s">
        <v>506</v>
      </c>
      <c r="H11" s="24"/>
    </row>
    <row r="12" spans="1:8" ht="16.5" thickTop="1">
      <c r="A12" s="72" t="s">
        <v>8</v>
      </c>
      <c r="B12" s="73">
        <v>23461</v>
      </c>
      <c r="C12" s="11"/>
      <c r="D12" s="83" t="s">
        <v>303</v>
      </c>
      <c r="E12" s="81"/>
      <c r="F12" s="81"/>
      <c r="G12" s="22" t="s">
        <v>178</v>
      </c>
      <c r="H12" s="24"/>
    </row>
    <row r="13" spans="1:8" ht="15.75">
      <c r="A13" s="14" t="s">
        <v>10</v>
      </c>
      <c r="B13" s="28">
        <f>DATEDIF(B12,B8,"y")</f>
        <v>60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2149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531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532</v>
      </c>
    </row>
    <row r="17" spans="1:9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8.74</v>
      </c>
    </row>
    <row r="18" spans="1:9" ht="14.45" customHeight="1">
      <c r="A18" s="198" t="s">
        <v>188</v>
      </c>
      <c r="B18" s="199" t="s">
        <v>535</v>
      </c>
      <c r="C18" s="204"/>
      <c r="D18" s="205" t="s">
        <v>210</v>
      </c>
      <c r="E18" s="205"/>
      <c r="F18" s="205"/>
      <c r="G18" s="201" t="s">
        <v>189</v>
      </c>
      <c r="H18" s="202" t="s">
        <v>527</v>
      </c>
    </row>
    <row r="19" spans="1:9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9" ht="14.45" customHeight="1">
      <c r="A20" s="198" t="s">
        <v>212</v>
      </c>
      <c r="B20" s="226" t="s">
        <v>530</v>
      </c>
      <c r="C20" s="231"/>
      <c r="D20" s="231"/>
      <c r="E20" s="231"/>
      <c r="F20" s="231"/>
      <c r="G20" s="231"/>
      <c r="H20" s="232"/>
    </row>
    <row r="21" spans="1:9" ht="15.75">
      <c r="A21" s="210"/>
      <c r="B21" s="233"/>
      <c r="C21" s="233"/>
      <c r="D21" s="233"/>
      <c r="E21" s="233"/>
      <c r="F21" s="233"/>
      <c r="G21" s="233"/>
      <c r="H21" s="234"/>
    </row>
    <row r="22" spans="1:9" ht="15.6" customHeight="1">
      <c r="A22" s="203" t="s">
        <v>271</v>
      </c>
      <c r="B22" s="235" t="s">
        <v>536</v>
      </c>
      <c r="C22" s="235"/>
      <c r="D22" s="235"/>
      <c r="E22" s="235"/>
      <c r="F22" s="235"/>
      <c r="G22" s="235"/>
      <c r="H22" s="236"/>
    </row>
    <row r="23" spans="1:9" ht="14.45" customHeight="1">
      <c r="A23" s="211"/>
      <c r="B23" s="226"/>
      <c r="C23" s="226"/>
      <c r="D23" s="226"/>
      <c r="E23" s="226"/>
      <c r="F23" s="226"/>
      <c r="G23" s="226"/>
      <c r="H23" s="227"/>
    </row>
    <row r="24" spans="1:9" ht="14.45" customHeight="1">
      <c r="A24" s="212"/>
      <c r="B24" s="226"/>
      <c r="C24" s="226"/>
      <c r="D24" s="226"/>
      <c r="E24" s="226"/>
      <c r="F24" s="226"/>
      <c r="G24" s="226"/>
      <c r="H24" s="227"/>
    </row>
    <row r="25" spans="1:9" ht="14.45" customHeight="1">
      <c r="A25" s="211"/>
      <c r="B25" s="226"/>
      <c r="C25" s="226"/>
      <c r="D25" s="226"/>
      <c r="E25" s="226"/>
      <c r="F25" s="226"/>
      <c r="G25" s="226"/>
      <c r="H25" s="227"/>
    </row>
    <row r="26" spans="1:9" ht="14.45" customHeight="1">
      <c r="A26" s="206"/>
      <c r="B26" s="237"/>
      <c r="C26" s="237"/>
      <c r="D26" s="237"/>
      <c r="E26" s="237"/>
      <c r="F26" s="237"/>
      <c r="G26" s="237"/>
      <c r="H26" s="238"/>
    </row>
    <row r="27" spans="1:9" ht="14.45" customHeight="1">
      <c r="A27" s="203" t="s">
        <v>272</v>
      </c>
      <c r="B27" s="235" t="s">
        <v>534</v>
      </c>
      <c r="C27" s="235"/>
      <c r="D27" s="235"/>
      <c r="E27" s="235"/>
      <c r="F27" s="235"/>
      <c r="G27" s="235"/>
      <c r="H27" s="236"/>
    </row>
    <row r="28" spans="1:9" ht="15.6" customHeight="1">
      <c r="A28" s="211"/>
      <c r="B28" s="226"/>
      <c r="C28" s="226"/>
      <c r="D28" s="226"/>
      <c r="E28" s="226"/>
      <c r="F28" s="226"/>
      <c r="G28" s="226"/>
      <c r="H28" s="227"/>
    </row>
    <row r="29" spans="1:9" ht="14.45" customHeight="1">
      <c r="A29" s="211"/>
      <c r="B29" s="226"/>
      <c r="C29" s="226"/>
      <c r="D29" s="226"/>
      <c r="E29" s="226"/>
      <c r="F29" s="226"/>
      <c r="G29" s="226"/>
      <c r="H29" s="227"/>
    </row>
    <row r="30" spans="1:9" ht="14.45" customHeight="1">
      <c r="A30" s="212"/>
      <c r="B30" s="226"/>
      <c r="C30" s="226"/>
      <c r="D30" s="226"/>
      <c r="E30" s="226"/>
      <c r="F30" s="226"/>
      <c r="G30" s="226"/>
      <c r="H30" s="227"/>
    </row>
    <row r="31" spans="1:9" ht="14.45" customHeight="1">
      <c r="A31" s="210"/>
      <c r="B31" s="237"/>
      <c r="C31" s="237"/>
      <c r="D31" s="237"/>
      <c r="E31" s="237"/>
      <c r="F31" s="237"/>
      <c r="G31" s="237"/>
      <c r="H31" s="238"/>
    </row>
    <row r="32" spans="1:9" ht="14.45" customHeight="1">
      <c r="A32" s="203" t="s">
        <v>273</v>
      </c>
      <c r="B32" s="239" t="s">
        <v>537</v>
      </c>
      <c r="C32" s="235"/>
      <c r="D32" s="235"/>
      <c r="E32" s="235"/>
      <c r="F32" s="235"/>
      <c r="G32" s="235"/>
      <c r="H32" s="236"/>
      <c r="I32" s="221"/>
    </row>
    <row r="33" spans="1:8" ht="14.45" customHeight="1">
      <c r="A33" s="211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211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11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211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4"/>
      <c r="B37"/>
      <c r="C37"/>
      <c r="D37" s="225" t="str">
        <f>IF($A$6=Вмешательства!$D$3,Вмешательства!$F$18,"")</f>
        <v/>
      </c>
      <c r="E37" s="225"/>
      <c r="F37" s="106"/>
      <c r="G37" s="106"/>
      <c r="H37" s="109"/>
    </row>
    <row r="38" spans="1:8" ht="14.45" customHeight="1">
      <c r="A38" s="34"/>
      <c r="B38"/>
      <c r="C38" s="110"/>
      <c r="D38" s="226"/>
      <c r="E38" s="226"/>
      <c r="F38" s="226"/>
      <c r="G38" s="226"/>
      <c r="H38" s="227"/>
    </row>
    <row r="39" spans="1:8" ht="14.45" customHeight="1">
      <c r="A39" s="31"/>
      <c r="B39" s="106"/>
      <c r="C39" s="110"/>
      <c r="D39" s="226"/>
      <c r="E39" s="226"/>
      <c r="F39" s="226"/>
      <c r="G39" s="226"/>
      <c r="H39" s="227"/>
    </row>
    <row r="40" spans="1:8" ht="14.45" customHeight="1">
      <c r="A40" s="31"/>
      <c r="B40" s="106"/>
      <c r="C40" s="110"/>
      <c r="D40" s="226"/>
      <c r="E40" s="226"/>
      <c r="F40" s="226"/>
      <c r="G40" s="226"/>
      <c r="H40" s="227"/>
    </row>
    <row r="41" spans="1:8" ht="14.45" customHeight="1">
      <c r="A41" s="31"/>
      <c r="B41" s="106"/>
      <c r="C41" s="110"/>
      <c r="D41" s="226"/>
      <c r="E41" s="226"/>
      <c r="F41" s="226"/>
      <c r="G41" s="226"/>
      <c r="H41" s="227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2" t="s">
        <v>538</v>
      </c>
      <c r="E43" s="223"/>
      <c r="F43" s="223"/>
      <c r="G43" s="223"/>
      <c r="H43" s="224"/>
    </row>
    <row r="44" spans="1:8" ht="14.45" customHeight="1">
      <c r="A44" s="31"/>
      <c r="B44" s="106"/>
      <c r="C44" s="112"/>
      <c r="D44" s="223"/>
      <c r="E44" s="223"/>
      <c r="F44" s="223"/>
      <c r="G44" s="223"/>
      <c r="H44" s="224"/>
    </row>
    <row r="45" spans="1:8" ht="14.45" customHeight="1">
      <c r="A45" s="31"/>
      <c r="B45" s="106"/>
      <c r="C45" s="112"/>
      <c r="D45" s="223"/>
      <c r="E45" s="223"/>
      <c r="F45" s="223"/>
      <c r="G45" s="223"/>
      <c r="H45" s="224"/>
    </row>
    <row r="46" spans="1:8">
      <c r="A46" s="31"/>
      <c r="B46" s="106"/>
      <c r="C46" s="112"/>
      <c r="D46" s="223"/>
      <c r="E46" s="223"/>
      <c r="F46" s="223"/>
      <c r="G46" s="223"/>
      <c r="H46" s="224"/>
    </row>
    <row r="47" spans="1:8">
      <c r="A47" s="34"/>
      <c r="B47"/>
      <c r="C47" s="112"/>
      <c r="D47" s="223"/>
      <c r="E47" s="223"/>
      <c r="F47" s="223"/>
      <c r="G47" s="223"/>
      <c r="H47" s="224"/>
    </row>
    <row r="48" spans="1:8">
      <c r="A48" s="34"/>
      <c r="B48"/>
      <c r="C48" s="112"/>
      <c r="D48" s="223"/>
      <c r="E48" s="223"/>
      <c r="F48" s="223"/>
      <c r="G48" s="223"/>
      <c r="H48" s="224"/>
    </row>
    <row r="49" spans="1:13">
      <c r="A49" s="34"/>
      <c r="B49" s="187"/>
      <c r="C49" s="188"/>
      <c r="D49" s="223"/>
      <c r="E49" s="223"/>
      <c r="F49" s="223"/>
      <c r="G49" s="223"/>
      <c r="H49" s="224"/>
    </row>
    <row r="50" spans="1:13">
      <c r="A50" s="34"/>
      <c r="B50"/>
      <c r="C50"/>
      <c r="D50" s="223"/>
      <c r="E50" s="223"/>
      <c r="F50" s="223"/>
      <c r="G50" s="223"/>
      <c r="H50" s="224"/>
      <c r="M50" t="s">
        <v>211</v>
      </c>
    </row>
    <row r="51" spans="1:13">
      <c r="A51" s="54" t="s">
        <v>199</v>
      </c>
      <c r="B51" s="55" t="s">
        <v>526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528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1" zoomScaleNormal="100" zoomScaleSheetLayoutView="100" zoomScalePageLayoutView="90" workbookViewId="0">
      <selection activeCell="I35" sqref="I35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50" t="s">
        <v>208</v>
      </c>
      <c r="B6" s="251"/>
      <c r="C6" s="251"/>
      <c r="D6" s="251"/>
      <c r="E6" s="251"/>
      <c r="F6" s="251"/>
      <c r="G6" s="251"/>
      <c r="H6" s="252"/>
    </row>
    <row r="7" spans="1:8" ht="21.6" customHeight="1">
      <c r="A7" s="250"/>
      <c r="B7" s="251"/>
      <c r="C7" s="251"/>
      <c r="D7" s="251"/>
      <c r="E7" s="251"/>
      <c r="F7" s="251"/>
      <c r="G7" s="251"/>
      <c r="H7" s="252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9" t="s">
        <v>221</v>
      </c>
      <c r="D8" s="249"/>
      <c r="E8" s="249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53"/>
      <c r="D9" s="253"/>
      <c r="E9" s="253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4"/>
      <c r="D10" s="254"/>
      <c r="E10" s="254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45681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0.90277777777777779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0.93055555555555547</v>
      </c>
      <c r="C14" s="11"/>
      <c r="D14" s="83" t="s">
        <v>173</v>
      </c>
      <c r="E14" s="81"/>
      <c r="F14" s="81"/>
      <c r="G14" s="71" t="str">
        <f>КАГ!G10</f>
        <v>Гайчук В.В.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2.7777777777777679E-2</v>
      </c>
      <c r="C15"/>
      <c r="D15" s="83" t="s">
        <v>170</v>
      </c>
      <c r="E15" s="81"/>
      <c r="F15" s="81"/>
      <c r="G15" s="71" t="str">
        <f>КАГ!G11</f>
        <v>Соболева Ю.А.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Ленивков С.В.</v>
      </c>
      <c r="C16" s="182">
        <f>LEN(КАГ!B11)</f>
        <v>13</v>
      </c>
      <c r="D16" s="83" t="s">
        <v>303</v>
      </c>
      <c r="E16" s="81"/>
      <c r="F16" s="81"/>
      <c r="G16" s="71" t="str">
        <f>КАГ!G12</f>
        <v>Галамага Н.Е.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23461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60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2149</v>
      </c>
      <c r="C19" s="61"/>
      <c r="D19" s="61"/>
      <c r="E19" s="61"/>
      <c r="F19" s="61"/>
      <c r="G19" s="150" t="s">
        <v>399</v>
      </c>
      <c r="H19" s="164" t="str">
        <f>КАГ!H15</f>
        <v>12:00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4600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8.74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20">
        <v>0.92013888888888884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7" t="s">
        <v>540</v>
      </c>
      <c r="B25" s="258"/>
      <c r="C25" s="258"/>
      <c r="D25" s="258"/>
      <c r="E25" s="258"/>
      <c r="F25" s="258"/>
      <c r="G25" s="258"/>
      <c r="H25" s="259"/>
    </row>
    <row r="26" spans="1:8" ht="14.45" customHeight="1">
      <c r="A26" s="260"/>
      <c r="B26" s="258"/>
      <c r="C26" s="258"/>
      <c r="D26" s="258"/>
      <c r="E26" s="258"/>
      <c r="F26" s="258"/>
      <c r="G26" s="258"/>
      <c r="H26" s="259"/>
    </row>
    <row r="27" spans="1:8" ht="14.45" customHeight="1">
      <c r="A27" s="260"/>
      <c r="B27" s="258"/>
      <c r="C27" s="258"/>
      <c r="D27" s="258"/>
      <c r="E27" s="258"/>
      <c r="F27" s="258"/>
      <c r="G27" s="258"/>
      <c r="H27" s="259"/>
    </row>
    <row r="28" spans="1:8" ht="14.45" customHeight="1">
      <c r="A28" s="260"/>
      <c r="B28" s="258"/>
      <c r="C28" s="258"/>
      <c r="D28" s="258"/>
      <c r="E28" s="258"/>
      <c r="F28" s="258"/>
      <c r="G28" s="258"/>
      <c r="H28" s="259"/>
    </row>
    <row r="29" spans="1:8" ht="14.45" customHeight="1">
      <c r="A29" s="260"/>
      <c r="B29" s="258"/>
      <c r="C29" s="258"/>
      <c r="D29" s="258"/>
      <c r="E29" s="258"/>
      <c r="F29" s="258"/>
      <c r="G29" s="258"/>
      <c r="H29" s="259"/>
    </row>
    <row r="30" spans="1:8" ht="14.45" customHeight="1">
      <c r="A30" s="260"/>
      <c r="B30" s="258"/>
      <c r="C30" s="258"/>
      <c r="D30" s="258"/>
      <c r="E30" s="258"/>
      <c r="F30" s="258"/>
      <c r="G30" s="258"/>
      <c r="H30" s="259"/>
    </row>
    <row r="31" spans="1:8" ht="14.45" customHeight="1">
      <c r="A31" s="260"/>
      <c r="B31" s="258"/>
      <c r="C31" s="258"/>
      <c r="D31" s="258"/>
      <c r="E31" s="258"/>
      <c r="F31" s="258"/>
      <c r="G31" s="258"/>
      <c r="H31" s="259"/>
    </row>
    <row r="32" spans="1:8" ht="14.45" customHeight="1">
      <c r="A32" s="260"/>
      <c r="B32" s="258"/>
      <c r="C32" s="258"/>
      <c r="D32" s="258"/>
      <c r="E32" s="258"/>
      <c r="F32" s="258"/>
      <c r="G32" s="258"/>
      <c r="H32" s="259"/>
    </row>
    <row r="33" spans="1:12" ht="14.45" customHeight="1">
      <c r="A33" s="260"/>
      <c r="B33" s="258"/>
      <c r="C33" s="258"/>
      <c r="D33" s="258"/>
      <c r="E33" s="258"/>
      <c r="F33" s="258"/>
      <c r="G33" s="258"/>
      <c r="H33" s="259"/>
    </row>
    <row r="34" spans="1:12" ht="14.45" customHeight="1">
      <c r="A34" s="260"/>
      <c r="B34" s="258"/>
      <c r="C34" s="258"/>
      <c r="D34" s="258"/>
      <c r="E34" s="258"/>
      <c r="F34" s="258"/>
      <c r="G34" s="258"/>
      <c r="H34" s="259"/>
    </row>
    <row r="35" spans="1:12" ht="14.45" customHeight="1">
      <c r="A35" s="260"/>
      <c r="B35" s="258"/>
      <c r="C35" s="258"/>
      <c r="D35" s="258"/>
      <c r="E35" s="258"/>
      <c r="F35" s="258"/>
      <c r="G35" s="258"/>
      <c r="H35" s="259"/>
    </row>
    <row r="36" spans="1:12" ht="14.45" customHeight="1">
      <c r="A36" s="260"/>
      <c r="B36" s="258"/>
      <c r="C36" s="258"/>
      <c r="D36" s="258"/>
      <c r="E36" s="258"/>
      <c r="F36" s="258"/>
      <c r="G36" s="258"/>
      <c r="H36" s="259"/>
    </row>
    <row r="37" spans="1:12" ht="14.45" customHeight="1">
      <c r="A37" s="260"/>
      <c r="B37" s="258"/>
      <c r="C37" s="258"/>
      <c r="D37" s="258"/>
      <c r="E37" s="258"/>
      <c r="F37" s="258"/>
      <c r="G37" s="258"/>
      <c r="H37" s="259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526</v>
      </c>
      <c r="C40" s="107"/>
      <c r="D40" s="261" t="s">
        <v>541</v>
      </c>
      <c r="E40" s="255"/>
      <c r="F40" s="255"/>
      <c r="G40" s="255"/>
      <c r="H40" s="256"/>
    </row>
    <row r="41" spans="1:12" ht="14.45" customHeight="1">
      <c r="A41" s="30"/>
      <c r="B41" s="26"/>
      <c r="C41" s="107"/>
      <c r="D41" s="255"/>
      <c r="E41" s="255"/>
      <c r="F41" s="255"/>
      <c r="G41" s="255"/>
      <c r="H41" s="256"/>
    </row>
    <row r="42" spans="1:12" ht="14.45" customHeight="1">
      <c r="A42" s="30"/>
      <c r="B42" s="26"/>
      <c r="C42" s="107"/>
      <c r="D42" s="255"/>
      <c r="E42" s="255"/>
      <c r="F42" s="255"/>
      <c r="G42" s="255"/>
      <c r="H42" s="256"/>
    </row>
    <row r="43" spans="1:12" ht="14.45" customHeight="1">
      <c r="A43" s="30"/>
      <c r="B43" s="26"/>
      <c r="C43" s="107"/>
      <c r="D43" s="255"/>
      <c r="E43" s="255"/>
      <c r="F43" s="255"/>
      <c r="G43" s="255"/>
      <c r="H43" s="256"/>
    </row>
    <row r="44" spans="1:12" ht="14.45" customHeight="1">
      <c r="A44" s="30"/>
      <c r="B44" s="26"/>
      <c r="C44" s="107"/>
      <c r="D44" s="255"/>
      <c r="E44" s="255"/>
      <c r="F44" s="255"/>
      <c r="G44" s="255"/>
      <c r="H44" s="256"/>
      <c r="L44" s="146"/>
    </row>
    <row r="45" spans="1:12" ht="14.45" customHeight="1">
      <c r="A45" s="30"/>
      <c r="B45" s="26"/>
      <c r="C45" s="107"/>
      <c r="D45" s="255"/>
      <c r="E45" s="255"/>
      <c r="F45" s="255"/>
      <c r="G45" s="255"/>
      <c r="H45" s="256"/>
    </row>
    <row r="46" spans="1:12" ht="14.45" customHeight="1">
      <c r="A46" s="30"/>
      <c r="B46" s="26"/>
      <c r="C46" s="107"/>
      <c r="D46" s="255"/>
      <c r="E46" s="255"/>
      <c r="F46" s="255"/>
      <c r="G46" s="255"/>
      <c r="H46" s="256"/>
    </row>
    <row r="47" spans="1:12" ht="14.45" customHeight="1">
      <c r="A47" s="34"/>
      <c r="B47"/>
      <c r="C47" s="107"/>
      <c r="D47" s="255"/>
      <c r="E47" s="255"/>
      <c r="F47" s="255"/>
      <c r="G47" s="255"/>
      <c r="H47" s="256"/>
    </row>
    <row r="48" spans="1:12" ht="14.45" customHeight="1">
      <c r="A48" s="34"/>
      <c r="B48"/>
      <c r="C48" s="107"/>
      <c r="D48" s="255"/>
      <c r="E48" s="255"/>
      <c r="F48" s="255"/>
      <c r="G48" s="255"/>
      <c r="H48" s="256"/>
    </row>
    <row r="49" spans="1:8" ht="14.45" customHeight="1">
      <c r="A49" s="34"/>
      <c r="B49"/>
      <c r="C49" s="107"/>
      <c r="D49" s="255"/>
      <c r="E49" s="255"/>
      <c r="F49" s="255"/>
      <c r="G49" s="255"/>
      <c r="H49" s="256"/>
    </row>
    <row r="50" spans="1:8">
      <c r="A50" s="54" t="s">
        <v>199</v>
      </c>
      <c r="B50" s="55" t="s">
        <v>539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40" t="s">
        <v>371</v>
      </c>
      <c r="B52" s="241"/>
      <c r="C52" s="241"/>
      <c r="D52" s="241"/>
      <c r="E52" s="241"/>
      <c r="F52" s="242"/>
      <c r="G52"/>
      <c r="H52" s="35"/>
    </row>
    <row r="53" spans="1:8" ht="15" customHeight="1">
      <c r="A53" s="243"/>
      <c r="B53" s="244"/>
      <c r="C53" s="244"/>
      <c r="D53" s="244"/>
      <c r="E53" s="244"/>
      <c r="F53" s="245"/>
      <c r="G53" s="66" t="str">
        <f>IF(ISBLANK(H13),"",H13)</f>
        <v/>
      </c>
      <c r="H53" s="56"/>
    </row>
    <row r="54" spans="1:8">
      <c r="A54" s="246"/>
      <c r="B54" s="247"/>
      <c r="C54" s="247"/>
      <c r="D54" s="247"/>
      <c r="E54" s="247"/>
      <c r="F54" s="248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проходим, контуры ровные
Бассейн ПНА:   на границе проксимального и среднего сегментов определяется тотальная оккллюзия, TTG1, Rentrop 0. Антеградный кровоток TIMI I. 
Бассейн  ОА:   неровности контуров проксимального сегмента. Антеградный кровоток TIMI III.  
Бассейн ПКА:   стеноз проксимального сегмента до 50%, эксцентричный стеноз среднего сегмента 70% .   Антеградный кровоток - TIMI III.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18" sqref="F18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45681</v>
      </c>
      <c r="C2" s="138" t="str">
        <f>IF(ЧКВ!B21=Вмешательства!F14,Вмешательства!F20,Вмешательства!F22)</f>
        <v>ОМС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Ленивков С.В.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23461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60</v>
      </c>
    </row>
    <row r="7" spans="1:4">
      <c r="A7" s="34"/>
      <c r="B7"/>
      <c r="C7" s="88" t="s">
        <v>12</v>
      </c>
      <c r="D7" s="90">
        <f>КАГ!$B$14</f>
        <v>2149</v>
      </c>
    </row>
    <row r="8" spans="1:4">
      <c r="A8" s="176" t="str">
        <f>ЧКВ!$A$9</f>
        <v>Код модели: 21166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45681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326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525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514</v>
      </c>
      <c r="C17" s="166" t="s">
        <v>417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324</v>
      </c>
      <c r="C18" s="121" t="s">
        <v>473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 t="s">
        <v>211</v>
      </c>
      <c r="D19" s="126" t="s">
        <v>211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 t="s">
        <v>211</v>
      </c>
      <c r="D20" s="128" t="s">
        <v>211</v>
      </c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6" zoomScaleNormal="100" workbookViewId="0">
      <selection activeCell="C64" sqref="C6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2" t="str">
        <f>IFERROR(INDEX(Расходка[Наименование расходного материала],MATCH(Расходка[[#This Row],[№]],Поиск_расходки[Индекс3],0)),"")</f>
        <v>Shunmei 0,7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1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523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524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1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521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1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529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>Metafor</v>
      </c>
      <c r="AA65" s="102" t="str">
        <f>IFERROR(INDEX(Расходка[Наименование расходного материала],MATCH(Расходка[[#This Row],[№]],Поиск_расходки[Индекс10],0)),"")</f>
        <v>Metafor</v>
      </c>
      <c r="AB65" s="102" t="str">
        <f>IFERROR(INDEX(Расходка[Наименование расходного материала],MATCH(Расходка[[#This Row],[№]],Поиск_расходки[Индекс11],0)),"")</f>
        <v>Metafor</v>
      </c>
      <c r="AC65" s="102" t="str">
        <f>IFERROR(INDEX(Расходка[Наименование расходного материала],MATCH(Расходка[[#This Row],[№]],Поиск_расходки[Индекс12],0)),"")</f>
        <v>Metafor</v>
      </c>
      <c r="AD65" s="102" t="str">
        <f>IFERROR(INDEX(Расходка[Наименование расходного материала],MATCH(Расходка[[#This Row],[№]],Поиск_расходки[Индекс13],0)),"")</f>
        <v>Metafor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80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1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E79" s="179">
        <f>IF(ISNUMBER(SEARCH('Карта учёта'!$B$13,Расходка[[#This Row],[Наименование расходного материала]])),MAX($E$1:E78)+1,0)</f>
        <v>0</v>
      </c>
      <c r="F79" s="179">
        <f>IF(ISNUMBER(SEARCH('Карта учёта'!$B$14,Расходка[[#This Row],[Наименование расходного материала]])),MAX($F$1:F78)+1,0)</f>
        <v>0</v>
      </c>
      <c r="G79" s="179">
        <f>IF(ISNUMBER(SEARCH('Карта учёта'!$B$15,Расходка[[#This Row],[Наименование расходного материала]])),MAX($G$1:G78)+1,0)</f>
        <v>0</v>
      </c>
      <c r="H79" s="179">
        <f>IF(ISNUMBER(SEARCH('Карта учёта'!#REF!,Расходка[[#This Row],[Наименование расходного материала]])),MAX($H$1:H78)+1,0)</f>
        <v>0</v>
      </c>
      <c r="I79" s="179">
        <f>IF(ISNUMBER(SEARCH('Карта учёта'!#REF!,Расходка[[#This Row],[Наименование расходного материала]])),MAX($I$1:I78)+1,0)</f>
        <v>0</v>
      </c>
      <c r="J79" s="179">
        <f>IF(ISNUMBER(SEARCH('Карта учёта'!$B$16,Расходка[[#This Row],[Наименование расходного материала]])),MAX($J$1:J78)+1,0)</f>
        <v>0</v>
      </c>
      <c r="K79" s="179">
        <f>IF(ISNUMBER(SEARCH('Карта учёта'!$B$17,Расходка[[#This Row],[Наименование расходного материала]])),MAX($K$1:K78)+1,0)</f>
        <v>0</v>
      </c>
      <c r="L79" s="179">
        <f>IF(ISNUMBER(SEARCH('Карта учёта'!$B$18,Расходка[[#This Row],[Наименование расходного материала]])),MAX($L$1:L78)+1,0)</f>
        <v>0</v>
      </c>
      <c r="M79" s="179">
        <f>IF(ISNUMBER(SEARCH('Карта учёта'!$B$19,Расходка[[#This Row],[Наименование расходного материала]])),MAX($M$1:M78)+1,0)</f>
        <v>78</v>
      </c>
      <c r="N79" s="179">
        <f>IF(ISNUMBER(SEARCH('Карта учёта'!$B$20,Расходка[[#This Row],[Наименование расходного материала]])),MAX($N$1:N78)+1,0)</f>
        <v>78</v>
      </c>
      <c r="O79" s="179">
        <f>IF(ISNUMBER(SEARCH('Карта учёта'!$B$21,Расходка[[#This Row],[Наименование расходного материала]])),MAX($O$1:O78)+1,0)</f>
        <v>78</v>
      </c>
      <c r="P79" s="179">
        <f>IF(ISNUMBER(SEARCH('Карта учёта'!$B$22,Расходка[[#This Row],[Наименование расходного материала]])),MAX($P$1:P78)+1,0)</f>
        <v>78</v>
      </c>
      <c r="Q79" s="179">
        <f>IF(ISNUMBER(SEARCH('Карта учёта'!$B$23,Расходка[[#This Row],[Наименование расходного материала]])),MAX($Q$1:Q78)+1,0)</f>
        <v>78</v>
      </c>
      <c r="R79" s="180" t="str">
        <f>IFERROR(INDEX(Расходка[Наименование расходного материала],MATCH(Расходка[[#This Row],[№]],Поиск_расходки[Индекс1],0)),"")</f>
        <v/>
      </c>
      <c r="S79" s="180" t="str">
        <f>IFERROR(INDEX(Расходка[Наименование расходного материала],MATCH(Расходка[[#This Row],[№]],Поиск_расходки[Индекс2],0)),"")</f>
        <v/>
      </c>
      <c r="T79" s="180" t="str">
        <f>IFERROR(INDEX(Расходка[Наименование расходного материала],MATCH(Расходка[[#This Row],[№]],Поиск_расходки[Индекс3],0)),"")</f>
        <v/>
      </c>
      <c r="U79" s="180" t="str">
        <f>IFERROR(INDEX(Расходка[Наименование расходного материала],MATCH(Расходка[[#This Row],[№]],Поиск_расходки[Индекс4],0)),"")</f>
        <v/>
      </c>
      <c r="V79" s="180" t="str">
        <f>IFERROR(INDEX(Расходка[Наименование расходного материала],MATCH(Расходка[[#This Row],[№]],Поиск_расходки[Индекс5],0)),"")</f>
        <v/>
      </c>
      <c r="W79" s="180" t="str">
        <f>IFERROR(INDEX(Расходка[Наименование расходного материала],MATCH(Расходка[[#This Row],[№]],Поиск_расходки[Индекс6],0)),"")</f>
        <v/>
      </c>
      <c r="X79" s="180" t="str">
        <f>IFERROR(INDEX(Расходка[Наименование расходного материала],MATCH(Расходка[[#This Row],[№]],Поиск_расходки[Индекс7],0)),"")</f>
        <v/>
      </c>
      <c r="Y79" s="180" t="str">
        <f>IFERROR(INDEX(Расходка[Наименование расходного материала],MATCH(Расходка[[#This Row],[№]],Поиск_расходки[Индекс8],0)),"")</f>
        <v/>
      </c>
      <c r="Z79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9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9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470</v>
      </c>
    </row>
    <row r="80" spans="1:33">
      <c r="E80" s="179">
        <f>IF(ISNUMBER(SEARCH('Карта учёта'!$B$13,Расходка[[#This Row],[Наименование расходного материала]])),MAX($E$1:E79)+1,0)</f>
        <v>0</v>
      </c>
      <c r="F80" s="179">
        <f>IF(ISNUMBER(SEARCH('Карта учёта'!$B$14,Расходка[[#This Row],[Наименование расходного материала]])),MAX($F$1:F79)+1,0)</f>
        <v>0</v>
      </c>
      <c r="G80" s="179">
        <f>IF(ISNUMBER(SEARCH('Карта учёта'!$B$15,Расходка[[#This Row],[Наименование расходного материала]])),MAX($G$1:G79)+1,0)</f>
        <v>0</v>
      </c>
      <c r="H80" s="179">
        <f>IF(ISNUMBER(SEARCH('Карта учёта'!#REF!,Расходка[[#This Row],[Наименование расходного материала]])),MAX($H$1:H79)+1,0)</f>
        <v>0</v>
      </c>
      <c r="I80" s="179">
        <f>IF(ISNUMBER(SEARCH('Карта учёта'!#REF!,Расходка[[#This Row],[Наименование расходного материала]])),MAX($I$1:I79)+1,0)</f>
        <v>0</v>
      </c>
      <c r="J80" s="179">
        <f>IF(ISNUMBER(SEARCH('Карта учёта'!$B$16,Расходка[[#This Row],[Наименование расходного материала]])),MAX($J$1:J79)+1,0)</f>
        <v>0</v>
      </c>
      <c r="K80" s="179">
        <f>IF(ISNUMBER(SEARCH('Карта учёта'!$B$17,Расходка[[#This Row],[Наименование расходного материала]])),MAX($K$1:K79)+1,0)</f>
        <v>0</v>
      </c>
      <c r="L80" s="179">
        <f>IF(ISNUMBER(SEARCH('Карта учёта'!$B$18,Расходка[[#This Row],[Наименование расходного материала]])),MAX($L$1:L79)+1,0)</f>
        <v>0</v>
      </c>
      <c r="M80" s="179">
        <f>IF(ISNUMBER(SEARCH('Карта учёта'!$B$19,Расходка[[#This Row],[Наименование расходного материала]])),MAX($M$1:M79)+1,0)</f>
        <v>0</v>
      </c>
      <c r="N80" s="179">
        <f>IF(ISNUMBER(SEARCH('Карта учёта'!$B$20,Расходка[[#This Row],[Наименование расходного материала]])),MAX($N$1:N79)+1,0)</f>
        <v>0</v>
      </c>
      <c r="O80" s="179">
        <f>IF(ISNUMBER(SEARCH('Карта учёта'!$B$21,Расходка[[#This Row],[Наименование расходного материала]])),MAX($O$1:O79)+1,0)</f>
        <v>0</v>
      </c>
      <c r="P80" s="179">
        <f>IF(ISNUMBER(SEARCH('Карта учёта'!$B$22,Расходка[[#This Row],[Наименование расходного материала]])),MAX($P$1:P79)+1,0)</f>
        <v>0</v>
      </c>
      <c r="Q80" s="179">
        <f>IF(ISNUMBER(SEARCH('Карта учёта'!$B$23,Расходка[[#This Row],[Наименование расходного материала]])),MAX($Q$1:Q79)+1,0)</f>
        <v>0</v>
      </c>
      <c r="R80" s="180" t="str">
        <f>IFERROR(INDEX(Расходка[Наименование расходного материала],MATCH(Расходка[[#This Row],[№]],Поиск_расходки[Индекс1],0)),"")</f>
        <v/>
      </c>
      <c r="S80" s="180" t="str">
        <f>IFERROR(INDEX(Расходка[Наименование расходного материала],MATCH(Расходка[[#This Row],[№]],Поиск_расходки[Индекс2],0)),"")</f>
        <v/>
      </c>
      <c r="T80" s="180" t="str">
        <f>IFERROR(INDEX(Расходка[Наименование расходного материала],MATCH(Расходка[[#This Row],[№]],Поиск_расходки[Индекс3],0)),"")</f>
        <v/>
      </c>
      <c r="U80" s="180" t="str">
        <f>IFERROR(INDEX(Расходка[Наименование расходного материала],MATCH(Расходка[[#This Row],[№]],Поиск_расходки[Индекс4],0)),"")</f>
        <v/>
      </c>
      <c r="V80" s="180" t="str">
        <f>IFERROR(INDEX(Расходка[Наименование расходного материала],MATCH(Расходка[[#This Row],[№]],Поиск_расходки[Индекс5],0)),"")</f>
        <v/>
      </c>
      <c r="W80" s="180" t="str">
        <f>IFERROR(INDEX(Расходка[Наименование расходного материала],MATCH(Расходка[[#This Row],[№]],Поиск_расходки[Индекс6],0)),"")</f>
        <v/>
      </c>
      <c r="X80" s="180" t="str">
        <f>IFERROR(INDEX(Расходка[Наименование расходного материала],MATCH(Расходка[[#This Row],[№]],Поиск_расходки[Индекс7],0)),"")</f>
        <v/>
      </c>
      <c r="Y80" s="180" t="str">
        <f>IFERROR(INDEX(Расходка[Наименование расходного материала],MATCH(Расходка[[#This Row],[№]],Поиск_расходки[Индекс8],0)),"")</f>
        <v/>
      </c>
      <c r="Z80" s="180" t="str">
        <f>IFERROR(INDEX(Расходка[Наименование расходного материала],MATCH(Расходка[[#This Row],[№]],Поиск_расходки[Индекс9],0)),"")</f>
        <v/>
      </c>
      <c r="AA80" s="180" t="str">
        <f>IFERROR(INDEX(Расходка[Наименование расходного материала],MATCH(Расходка[[#This Row],[№]],Поиск_расходки[Индекс10],0)),"")</f>
        <v/>
      </c>
      <c r="AB80" s="180" t="str">
        <f>IFERROR(INDEX(Расходка[Наименование расходного материала],MATCH(Расходка[[#This Row],[№]],Поиск_расходки[Индекс11],0)),"")</f>
        <v/>
      </c>
      <c r="AC80" s="180" t="str">
        <f>IFERROR(INDEX(Расходка[Наименование расходного материала],MATCH(Расходка[[#This Row],[№]],Поиск_расходки[Индекс12],0)),"")</f>
        <v/>
      </c>
      <c r="AD80" s="180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471</v>
      </c>
    </row>
    <row r="81" spans="5:33">
      <c r="E81" s="179">
        <f>IF(ISNUMBER(SEARCH('Карта учёта'!$B$13,Расходка[[#This Row],[Наименование расходного материала]])),MAX($E$1:E80)+1,0)</f>
        <v>0</v>
      </c>
      <c r="F81" s="179">
        <f>IF(ISNUMBER(SEARCH('Карта учёта'!$B$14,Расходка[[#This Row],[Наименование расходного материала]])),MAX($F$1:F80)+1,0)</f>
        <v>0</v>
      </c>
      <c r="G81" s="179">
        <f>IF(ISNUMBER(SEARCH('Карта учёта'!$B$15,Расходка[[#This Row],[Наименование расходного материала]])),MAX($G$1:G80)+1,0)</f>
        <v>0</v>
      </c>
      <c r="H81" s="179">
        <f>IF(ISNUMBER(SEARCH('Карта учёта'!#REF!,Расходка[[#This Row],[Наименование расходного материала]])),MAX($H$1:H80)+1,0)</f>
        <v>0</v>
      </c>
      <c r="I81" s="179">
        <f>IF(ISNUMBER(SEARCH('Карта учёта'!#REF!,Расходка[[#This Row],[Наименование расходного материала]])),MAX($I$1:I80)+1,0)</f>
        <v>0</v>
      </c>
      <c r="J81" s="179">
        <f>IF(ISNUMBER(SEARCH('Карта учёта'!$B$16,Расходка[[#This Row],[Наименование расходного материала]])),MAX($J$1:J80)+1,0)</f>
        <v>0</v>
      </c>
      <c r="K81" s="179">
        <f>IF(ISNUMBER(SEARCH('Карта учёта'!$B$17,Расходка[[#This Row],[Наименование расходного материала]])),MAX($K$1:K80)+1,0)</f>
        <v>0</v>
      </c>
      <c r="L81" s="179">
        <f>IF(ISNUMBER(SEARCH('Карта учёта'!$B$18,Расходка[[#This Row],[Наименование расходного материала]])),MAX($L$1:L80)+1,0)</f>
        <v>0</v>
      </c>
      <c r="M81" s="179">
        <f>IF(ISNUMBER(SEARCH('Карта учёта'!$B$19,Расходка[[#This Row],[Наименование расходного материала]])),MAX($M$1:M80)+1,0)</f>
        <v>0</v>
      </c>
      <c r="N81" s="179">
        <f>IF(ISNUMBER(SEARCH('Карта учёта'!$B$20,Расходка[[#This Row],[Наименование расходного материала]])),MAX($N$1:N80)+1,0)</f>
        <v>0</v>
      </c>
      <c r="O81" s="179">
        <f>IF(ISNUMBER(SEARCH('Карта учёта'!$B$21,Расходка[[#This Row],[Наименование расходного материала]])),MAX($O$1:O80)+1,0)</f>
        <v>0</v>
      </c>
      <c r="P81" s="179">
        <f>IF(ISNUMBER(SEARCH('Карта учёта'!$B$22,Расходка[[#This Row],[Наименование расходного материала]])),MAX($P$1:P80)+1,0)</f>
        <v>0</v>
      </c>
      <c r="Q81" s="179">
        <f>IF(ISNUMBER(SEARCH('Карта учёта'!$B$23,Расходка[[#This Row],[Наименование расходного материала]])),MAX($Q$1:Q80)+1,0)</f>
        <v>0</v>
      </c>
      <c r="R81" s="180" t="str">
        <f>IFERROR(INDEX(Расходка[Наименование расходного материала],MATCH(Расходка[[#This Row],[№]],Поиск_расходки[Индекс1],0)),"")</f>
        <v/>
      </c>
      <c r="S81" s="180" t="str">
        <f>IFERROR(INDEX(Расходка[Наименование расходного материала],MATCH(Расходка[[#This Row],[№]],Поиск_расходки[Индекс2],0)),"")</f>
        <v/>
      </c>
      <c r="T81" s="180" t="str">
        <f>IFERROR(INDEX(Расходка[Наименование расходного материала],MATCH(Расходка[[#This Row],[№]],Поиск_расходки[Индекс3],0)),"")</f>
        <v/>
      </c>
      <c r="U81" s="180" t="str">
        <f>IFERROR(INDEX(Расходка[Наименование расходного материала],MATCH(Расходка[[#This Row],[№]],Поиск_расходки[Индекс4],0)),"")</f>
        <v/>
      </c>
      <c r="V81" s="180" t="str">
        <f>IFERROR(INDEX(Расходка[Наименование расходного материала],MATCH(Расходка[[#This Row],[№]],Поиск_расходки[Индекс5],0)),"")</f>
        <v/>
      </c>
      <c r="W81" s="180" t="str">
        <f>IFERROR(INDEX(Расходка[Наименование расходного материала],MATCH(Расходка[[#This Row],[№]],Поиск_расходки[Индекс6],0)),"")</f>
        <v/>
      </c>
      <c r="X81" s="180" t="str">
        <f>IFERROR(INDEX(Расходка[Наименование расходного материала],MATCH(Расходка[[#This Row],[№]],Поиск_расходки[Индекс7],0)),"")</f>
        <v/>
      </c>
      <c r="Y81" s="180" t="str">
        <f>IFERROR(INDEX(Расходка[Наименование расходного материала],MATCH(Расходка[[#This Row],[№]],Поиск_расходки[Индекс8],0)),"")</f>
        <v/>
      </c>
      <c r="Z81" s="180" t="str">
        <f>IFERROR(INDEX(Расходка[Наименование расходного материала],MATCH(Расходка[[#This Row],[№]],Поиск_расходки[Индекс9],0)),"")</f>
        <v/>
      </c>
      <c r="AA81" s="180" t="str">
        <f>IFERROR(INDEX(Расходка[Наименование расходного материала],MATCH(Расходка[[#This Row],[№]],Поиск_расходки[Индекс10],0)),"")</f>
        <v/>
      </c>
      <c r="AB81" s="180" t="str">
        <f>IFERROR(INDEX(Расходка[Наименование расходного материала],MATCH(Расходка[[#This Row],[№]],Поиск_расходки[Индекс11],0)),"")</f>
        <v/>
      </c>
      <c r="AC81" s="180" t="str">
        <f>IFERROR(INDEX(Расходка[Наименование расходного материала],MATCH(Расходка[[#This Row],[№]],Поиск_расходки[Индекс12],0)),"")</f>
        <v/>
      </c>
      <c r="AD81" s="180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472</v>
      </c>
    </row>
    <row r="82" spans="5:33">
      <c r="E82" s="179">
        <f>IF(ISNUMBER(SEARCH('Карта учёта'!$B$13,Расходка[[#This Row],[Наименование расходного материала]])),MAX($E$1:E81)+1,0)</f>
        <v>0</v>
      </c>
      <c r="F82" s="179">
        <f>IF(ISNUMBER(SEARCH('Карта учёта'!$B$14,Расходка[[#This Row],[Наименование расходного материала]])),MAX($F$1:F81)+1,0)</f>
        <v>0</v>
      </c>
      <c r="G82" s="179">
        <f>IF(ISNUMBER(SEARCH('Карта учёта'!$B$15,Расходка[[#This Row],[Наименование расходного материала]])),MAX($G$1:G81)+1,0)</f>
        <v>0</v>
      </c>
      <c r="H82" s="179">
        <f>IF(ISNUMBER(SEARCH('Карта учёта'!#REF!,Расходка[[#This Row],[Наименование расходного материала]])),MAX($H$1:H81)+1,0)</f>
        <v>0</v>
      </c>
      <c r="I82" s="179">
        <f>IF(ISNUMBER(SEARCH('Карта учёта'!#REF!,Расходка[[#This Row],[Наименование расходного материала]])),MAX($I$1:I81)+1,0)</f>
        <v>0</v>
      </c>
      <c r="J82" s="179">
        <f>IF(ISNUMBER(SEARCH('Карта учёта'!$B$16,Расходка[[#This Row],[Наименование расходного материала]])),MAX($J$1:J81)+1,0)</f>
        <v>0</v>
      </c>
      <c r="K82" s="179">
        <f>IF(ISNUMBER(SEARCH('Карта учёта'!$B$17,Расходка[[#This Row],[Наименование расходного материала]])),MAX($K$1:K81)+1,0)</f>
        <v>0</v>
      </c>
      <c r="L82" s="179">
        <f>IF(ISNUMBER(SEARCH('Карта учёта'!$B$18,Расходка[[#This Row],[Наименование расходного материала]])),MAX($L$1:L81)+1,0)</f>
        <v>0</v>
      </c>
      <c r="M82" s="179">
        <f>IF(ISNUMBER(SEARCH('Карта учёта'!$B$19,Расходка[[#This Row],[Наименование расходного материала]])),MAX($M$1:M81)+1,0)</f>
        <v>0</v>
      </c>
      <c r="N82" s="179">
        <f>IF(ISNUMBER(SEARCH('Карта учёта'!$B$20,Расходка[[#This Row],[Наименование расходного материала]])),MAX($N$1:N81)+1,0)</f>
        <v>0</v>
      </c>
      <c r="O82" s="179">
        <f>IF(ISNUMBER(SEARCH('Карта учёта'!$B$21,Расходка[[#This Row],[Наименование расходного материала]])),MAX($O$1:O81)+1,0)</f>
        <v>0</v>
      </c>
      <c r="P82" s="179">
        <f>IF(ISNUMBER(SEARCH('Карта учёта'!$B$22,Расходка[[#This Row],[Наименование расходного материала]])),MAX($P$1:P81)+1,0)</f>
        <v>0</v>
      </c>
      <c r="Q82" s="179">
        <f>IF(ISNUMBER(SEARCH('Карта учёта'!$B$23,Расходка[[#This Row],[Наименование расходного материала]])),MAX($Q$1:Q81)+1,0)</f>
        <v>0</v>
      </c>
      <c r="R82" s="180" t="str">
        <f>IFERROR(INDEX(Расходка[Наименование расходного материала],MATCH(Расходка[[#This Row],[№]],Поиск_расходки[Индекс1],0)),"")</f>
        <v/>
      </c>
      <c r="S82" s="180" t="str">
        <f>IFERROR(INDEX(Расходка[Наименование расходного материала],MATCH(Расходка[[#This Row],[№]],Поиск_расходки[Индекс2],0)),"")</f>
        <v/>
      </c>
      <c r="T82" s="180" t="str">
        <f>IFERROR(INDEX(Расходка[Наименование расходного материала],MATCH(Расходка[[#This Row],[№]],Поиск_расходки[Индекс3],0)),"")</f>
        <v/>
      </c>
      <c r="U82" s="180" t="str">
        <f>IFERROR(INDEX(Расходка[Наименование расходного материала],MATCH(Расходка[[#This Row],[№]],Поиск_расходки[Индекс4],0)),"")</f>
        <v/>
      </c>
      <c r="V82" s="180" t="str">
        <f>IFERROR(INDEX(Расходка[Наименование расходного материала],MATCH(Расходка[[#This Row],[№]],Поиск_расходки[Индекс5],0)),"")</f>
        <v/>
      </c>
      <c r="W82" s="180" t="str">
        <f>IFERROR(INDEX(Расходка[Наименование расходного материала],MATCH(Расходка[[#This Row],[№]],Поиск_расходки[Индекс6],0)),"")</f>
        <v/>
      </c>
      <c r="X82" s="180" t="str">
        <f>IFERROR(INDEX(Расходка[Наименование расходного материала],MATCH(Расходка[[#This Row],[№]],Поиск_расходки[Индекс7],0)),"")</f>
        <v/>
      </c>
      <c r="Y82" s="180" t="str">
        <f>IFERROR(INDEX(Расходка[Наименование расходного материала],MATCH(Расходка[[#This Row],[№]],Поиск_расходки[Индекс8],0)),"")</f>
        <v/>
      </c>
      <c r="Z82" s="180" t="str">
        <f>IFERROR(INDEX(Расходка[Наименование расходного материала],MATCH(Расходка[[#This Row],[№]],Поиск_расходки[Индекс9],0)),"")</f>
        <v/>
      </c>
      <c r="AA82" s="180" t="str">
        <f>IFERROR(INDEX(Расходка[Наименование расходного материала],MATCH(Расходка[[#This Row],[№]],Поиск_расходки[Индекс10],0)),"")</f>
        <v/>
      </c>
      <c r="AB82" s="180" t="str">
        <f>IFERROR(INDEX(Расходка[Наименование расходного материала],MATCH(Расходка[[#This Row],[№]],Поиск_расходки[Индекс11],0)),"")</f>
        <v/>
      </c>
      <c r="AC82" s="180" t="str">
        <f>IFERROR(INDEX(Расходка[Наименование расходного материала],MATCH(Расходка[[#This Row],[№]],Поиск_расходки[Индекс12],0)),"")</f>
        <v/>
      </c>
      <c r="AD82" s="180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473</v>
      </c>
    </row>
    <row r="83" spans="5:33">
      <c r="E83" s="179">
        <f>IF(ISNUMBER(SEARCH('Карта учёта'!$B$13,Расходка[[#This Row],[Наименование расходного материала]])),MAX($E$1:E82)+1,0)</f>
        <v>0</v>
      </c>
      <c r="F83" s="179">
        <f>IF(ISNUMBER(SEARCH('Карта учёта'!$B$14,Расходка[[#This Row],[Наименование расходного материала]])),MAX($F$1:F82)+1,0)</f>
        <v>0</v>
      </c>
      <c r="G83" s="179">
        <f>IF(ISNUMBER(SEARCH('Карта учёта'!$B$15,Расходка[[#This Row],[Наименование расходного материала]])),MAX($G$1:G82)+1,0)</f>
        <v>0</v>
      </c>
      <c r="H83" s="179">
        <f>IF(ISNUMBER(SEARCH('Карта учёта'!#REF!,Расходка[[#This Row],[Наименование расходного материала]])),MAX($H$1:H82)+1,0)</f>
        <v>0</v>
      </c>
      <c r="I83" s="179">
        <f>IF(ISNUMBER(SEARCH('Карта учёта'!#REF!,Расходка[[#This Row],[Наименование расходного материала]])),MAX($I$1:I82)+1,0)</f>
        <v>0</v>
      </c>
      <c r="J83" s="179">
        <f>IF(ISNUMBER(SEARCH('Карта учёта'!$B$16,Расходка[[#This Row],[Наименование расходного материала]])),MAX($J$1:J82)+1,0)</f>
        <v>0</v>
      </c>
      <c r="K83" s="179">
        <f>IF(ISNUMBER(SEARCH('Карта учёта'!$B$17,Расходка[[#This Row],[Наименование расходного материала]])),MAX($K$1:K82)+1,0)</f>
        <v>0</v>
      </c>
      <c r="L83" s="179">
        <f>IF(ISNUMBER(SEARCH('Карта учёта'!$B$18,Расходка[[#This Row],[Наименование расходного материала]])),MAX($L$1:L82)+1,0)</f>
        <v>0</v>
      </c>
      <c r="M83" s="179">
        <f>IF(ISNUMBER(SEARCH('Карта учёта'!$B$19,Расходка[[#This Row],[Наименование расходного материала]])),MAX($M$1:M82)+1,0)</f>
        <v>0</v>
      </c>
      <c r="N83" s="179">
        <f>IF(ISNUMBER(SEARCH('Карта учёта'!$B$20,Расходка[[#This Row],[Наименование расходного материала]])),MAX($N$1:N82)+1,0)</f>
        <v>0</v>
      </c>
      <c r="O83" s="179">
        <f>IF(ISNUMBER(SEARCH('Карта учёта'!$B$21,Расходка[[#This Row],[Наименование расходного материала]])),MAX($O$1:O82)+1,0)</f>
        <v>0</v>
      </c>
      <c r="P83" s="179">
        <f>IF(ISNUMBER(SEARCH('Карта учёта'!$B$22,Расходка[[#This Row],[Наименование расходного материала]])),MAX($P$1:P82)+1,0)</f>
        <v>0</v>
      </c>
      <c r="Q83" s="179">
        <f>IF(ISNUMBER(SEARCH('Карта учёта'!$B$23,Расходка[[#This Row],[Наименование расходного материала]])),MAX($Q$1:Q82)+1,0)</f>
        <v>0</v>
      </c>
      <c r="R83" s="180" t="str">
        <f>IFERROR(INDEX(Расходка[Наименование расходного материала],MATCH(Расходка[[#This Row],[№]],Поиск_расходки[Индекс1],0)),"")</f>
        <v/>
      </c>
      <c r="S83" s="180" t="str">
        <f>IFERROR(INDEX(Расходка[Наименование расходного материала],MATCH(Расходка[[#This Row],[№]],Поиск_расходки[Индекс2],0)),"")</f>
        <v/>
      </c>
      <c r="T83" s="180" t="str">
        <f>IFERROR(INDEX(Расходка[Наименование расходного материала],MATCH(Расходка[[#This Row],[№]],Поиск_расходки[Индекс3],0)),"")</f>
        <v/>
      </c>
      <c r="U83" s="180" t="str">
        <f>IFERROR(INDEX(Расходка[Наименование расходного материала],MATCH(Расходка[[#This Row],[№]],Поиск_расходки[Индекс4],0)),"")</f>
        <v/>
      </c>
      <c r="V83" s="180" t="str">
        <f>IFERROR(INDEX(Расходка[Наименование расходного материала],MATCH(Расходка[[#This Row],[№]],Поиск_расходки[Индекс5],0)),"")</f>
        <v/>
      </c>
      <c r="W83" s="180" t="str">
        <f>IFERROR(INDEX(Расходка[Наименование расходного материала],MATCH(Расходка[[#This Row],[№]],Поиск_расходки[Индекс6],0)),"")</f>
        <v/>
      </c>
      <c r="X83" s="180" t="str">
        <f>IFERROR(INDEX(Расходка[Наименование расходного материала],MATCH(Расходка[[#This Row],[№]],Поиск_расходки[Индекс7],0)),"")</f>
        <v/>
      </c>
      <c r="Y83" s="180" t="str">
        <f>IFERROR(INDEX(Расходка[Наименование расходного материала],MATCH(Расходка[[#This Row],[№]],Поиск_расходки[Индекс8],0)),"")</f>
        <v/>
      </c>
      <c r="Z83" s="180" t="str">
        <f>IFERROR(INDEX(Расходка[Наименование расходного материала],MATCH(Расходка[[#This Row],[№]],Поиск_расходки[Индекс9],0)),"")</f>
        <v/>
      </c>
      <c r="AA83" s="180" t="str">
        <f>IFERROR(INDEX(Расходка[Наименование расходного материала],MATCH(Расходка[[#This Row],[№]],Поиск_расходки[Индекс10],0)),"")</f>
        <v/>
      </c>
      <c r="AB83" s="180" t="str">
        <f>IFERROR(INDEX(Расходка[Наименование расходного материала],MATCH(Расходка[[#This Row],[№]],Поиск_расходки[Индекс11],0)),"")</f>
        <v/>
      </c>
      <c r="AC83" s="180" t="str">
        <f>IFERROR(INDEX(Расходка[Наименование расходного материала],MATCH(Расходка[[#This Row],[№]],Поиск_расходки[Индекс12],0)),"")</f>
        <v/>
      </c>
      <c r="AD83" s="180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474</v>
      </c>
    </row>
    <row r="84" spans="5:33">
      <c r="AF84" s="4" t="s">
        <v>6</v>
      </c>
      <c r="AG84" s="4" t="s">
        <v>425</v>
      </c>
    </row>
    <row r="85" spans="5:33">
      <c r="AF85" s="4" t="s">
        <v>6</v>
      </c>
      <c r="AG85" s="4" t="s">
        <v>426</v>
      </c>
    </row>
    <row r="86" spans="5:33">
      <c r="AF86" s="4" t="s">
        <v>6</v>
      </c>
      <c r="AG86" s="4" t="s">
        <v>475</v>
      </c>
    </row>
    <row r="87" spans="5:33">
      <c r="AF87" s="4" t="s">
        <v>6</v>
      </c>
      <c r="AG87" s="4" t="s">
        <v>476</v>
      </c>
    </row>
    <row r="88" spans="5:33">
      <c r="AF88" s="4" t="s">
        <v>6</v>
      </c>
      <c r="AG88" s="4" t="s">
        <v>477</v>
      </c>
    </row>
    <row r="89" spans="5:33">
      <c r="AF89" s="4" t="s">
        <v>6</v>
      </c>
      <c r="AG89" s="4" t="s">
        <v>478</v>
      </c>
    </row>
    <row r="90" spans="5:33">
      <c r="AF90" s="4" t="s">
        <v>6</v>
      </c>
      <c r="AG90" s="4" t="s">
        <v>479</v>
      </c>
    </row>
    <row r="91" spans="5:33">
      <c r="AF91" s="4" t="s">
        <v>6</v>
      </c>
      <c r="AG91" s="4" t="s">
        <v>480</v>
      </c>
    </row>
    <row r="92" spans="5:33">
      <c r="AF92" s="4" t="s">
        <v>6</v>
      </c>
      <c r="AG92" s="4" t="s">
        <v>481</v>
      </c>
    </row>
    <row r="93" spans="5:33">
      <c r="AF93" s="4" t="s">
        <v>6</v>
      </c>
      <c r="AG93" s="4" t="s">
        <v>482</v>
      </c>
    </row>
    <row r="94" spans="5:33">
      <c r="AF94" s="4" t="s">
        <v>6</v>
      </c>
      <c r="AG94" s="4" t="s">
        <v>429</v>
      </c>
    </row>
    <row r="95" spans="5:33">
      <c r="AF95" s="4" t="s">
        <v>6</v>
      </c>
      <c r="AG95" s="4" t="s">
        <v>430</v>
      </c>
    </row>
    <row r="96" spans="5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2025-01-24T19:51:18Z</cp:lastPrinted>
  <dcterms:created xsi:type="dcterms:W3CDTF">2015-06-05T18:19:34Z</dcterms:created>
  <dcterms:modified xsi:type="dcterms:W3CDTF">2025-01-24T19:51:22Z</dcterms:modified>
</cp:coreProperties>
</file>