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R79" i="1" s="1"/>
  <c r="E83" i="1"/>
  <c r="E84" i="1"/>
  <c r="F80" i="1"/>
  <c r="F81" i="1"/>
  <c r="F82" i="1"/>
  <c r="F83" i="1"/>
  <c r="F84" i="1"/>
  <c r="G79" i="1"/>
  <c r="G80" i="1" s="1"/>
  <c r="G81" i="1"/>
  <c r="G82" i="1"/>
  <c r="G83" i="1"/>
  <c r="G84" i="1"/>
  <c r="H79" i="1"/>
  <c r="H80" i="1"/>
  <c r="H81" i="1"/>
  <c r="H82" i="1"/>
  <c r="H83" i="1"/>
  <c r="H84" i="1"/>
  <c r="I79" i="1"/>
  <c r="I80" i="1" s="1"/>
  <c r="I81" i="1"/>
  <c r="I82" i="1"/>
  <c r="I83" i="1"/>
  <c r="I84" i="1"/>
  <c r="J79" i="1"/>
  <c r="J80" i="1"/>
  <c r="J81" i="1"/>
  <c r="J82" i="1"/>
  <c r="J83" i="1"/>
  <c r="J84" i="1"/>
  <c r="K79" i="1"/>
  <c r="K80" i="1" s="1"/>
  <c r="K81" i="1"/>
  <c r="K82" i="1"/>
  <c r="K83" i="1"/>
  <c r="K84" i="1"/>
  <c r="L79" i="1"/>
  <c r="L80" i="1"/>
  <c r="L81" i="1"/>
  <c r="L82" i="1"/>
  <c r="L83" i="1"/>
  <c r="L84" i="1"/>
  <c r="M79" i="1"/>
  <c r="M80" i="1" s="1"/>
  <c r="M81" i="1"/>
  <c r="M82" i="1"/>
  <c r="M83" i="1"/>
  <c r="M84" i="1"/>
  <c r="N79" i="1"/>
  <c r="N80" i="1"/>
  <c r="N81" i="1"/>
  <c r="N82" i="1"/>
  <c r="N83" i="1"/>
  <c r="N84" i="1"/>
  <c r="O79" i="1"/>
  <c r="O80" i="1" s="1"/>
  <c r="O81" i="1"/>
  <c r="O82" i="1"/>
  <c r="O83" i="1"/>
  <c r="O84" i="1"/>
  <c r="P79" i="1"/>
  <c r="AC79" i="1" s="1"/>
  <c r="P80" i="1"/>
  <c r="P81" i="1"/>
  <c r="P82" i="1"/>
  <c r="P83" i="1"/>
  <c r="P84" i="1"/>
  <c r="Q79" i="1"/>
  <c r="Q80" i="1" s="1"/>
  <c r="AD80" i="1" s="1"/>
  <c r="Q81" i="1"/>
  <c r="Q82" i="1"/>
  <c r="Q83" i="1"/>
  <c r="Q84" i="1"/>
  <c r="R80" i="1"/>
  <c r="R81" i="1"/>
  <c r="R82" i="1"/>
  <c r="R83" i="1"/>
  <c r="R84" i="1"/>
  <c r="S81" i="1"/>
  <c r="S82" i="1"/>
  <c r="S83" i="1"/>
  <c r="S84" i="1"/>
  <c r="T81" i="1"/>
  <c r="T82" i="1"/>
  <c r="T83" i="1"/>
  <c r="T84" i="1"/>
  <c r="U81" i="1"/>
  <c r="U82" i="1"/>
  <c r="U83" i="1"/>
  <c r="U84" i="1"/>
  <c r="V81" i="1"/>
  <c r="V82" i="1"/>
  <c r="V83" i="1"/>
  <c r="V84" i="1"/>
  <c r="W81" i="1"/>
  <c r="W82" i="1"/>
  <c r="W83" i="1"/>
  <c r="W84" i="1"/>
  <c r="X81" i="1"/>
  <c r="X82" i="1"/>
  <c r="X83" i="1"/>
  <c r="X84" i="1"/>
  <c r="Y81" i="1"/>
  <c r="Y82" i="1"/>
  <c r="Y83" i="1"/>
  <c r="Y84" i="1"/>
  <c r="Z81" i="1"/>
  <c r="Z82" i="1"/>
  <c r="Z83" i="1"/>
  <c r="Z84" i="1"/>
  <c r="AA81" i="1"/>
  <c r="AA82" i="1"/>
  <c r="AA83" i="1"/>
  <c r="AA84" i="1"/>
  <c r="AB81" i="1"/>
  <c r="AB82" i="1"/>
  <c r="AB83" i="1"/>
  <c r="AB84" i="1"/>
  <c r="AC81" i="1"/>
  <c r="AC82" i="1"/>
  <c r="AC83" i="1"/>
  <c r="AC84" i="1"/>
  <c r="AD79" i="1"/>
  <c r="AD81" i="1"/>
  <c r="AD82" i="1"/>
  <c r="AD83" i="1"/>
  <c r="AD84" i="1"/>
  <c r="A13" i="1"/>
  <c r="A56" i="1"/>
  <c r="AC80" i="1" l="1"/>
  <c r="A59" i="1"/>
  <c r="A55" i="1" l="1"/>
  <c r="A54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2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AB80" i="1"/>
  <c r="AB79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F79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9" i="1" l="1"/>
  <c r="S80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U41" i="1"/>
  <c r="U75" i="1"/>
  <c r="U68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80" i="1" l="1"/>
  <c r="U79" i="1"/>
  <c r="U54" i="1"/>
  <c r="U69" i="1"/>
  <c r="U59" i="1"/>
  <c r="U56" i="1"/>
  <c r="U64" i="1"/>
  <c r="U39" i="1"/>
  <c r="U70" i="1"/>
  <c r="U46" i="1"/>
  <c r="U60" i="1"/>
  <c r="U73" i="1"/>
  <c r="U55" i="1"/>
  <c r="U58" i="1"/>
  <c r="U61" i="1"/>
  <c r="U52" i="1"/>
  <c r="U44" i="1"/>
  <c r="U47" i="1"/>
  <c r="U57" i="1"/>
  <c r="U45" i="1"/>
  <c r="U51" i="1"/>
  <c r="U66" i="1"/>
  <c r="U42" i="1"/>
  <c r="U40" i="1"/>
  <c r="U7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80" i="1"/>
  <c r="I78" i="1"/>
  <c r="V70" i="1" s="1"/>
  <c r="W54" i="1"/>
  <c r="W78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74" i="1"/>
  <c r="V65" i="1"/>
  <c r="V42" i="1"/>
  <c r="V39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5" i="1" l="1"/>
  <c r="V62" i="1"/>
  <c r="V73" i="1"/>
  <c r="V47" i="1"/>
  <c r="V79" i="1"/>
  <c r="V80" i="1"/>
  <c r="V77" i="1"/>
  <c r="V7" i="1"/>
  <c r="V13" i="1"/>
  <c r="V5" i="1"/>
  <c r="V17" i="1"/>
  <c r="V23" i="1"/>
  <c r="V32" i="1"/>
  <c r="V21" i="1"/>
  <c r="V24" i="1"/>
  <c r="V9" i="1"/>
  <c r="V10" i="1"/>
  <c r="V14" i="1"/>
  <c r="V20" i="1"/>
  <c r="V27" i="1"/>
  <c r="V37" i="1"/>
  <c r="V22" i="1"/>
  <c r="V16" i="1"/>
  <c r="V33" i="1"/>
  <c r="V29" i="1"/>
  <c r="V3" i="1"/>
  <c r="V8" i="1"/>
  <c r="V6" i="1"/>
  <c r="V34" i="1"/>
  <c r="V25" i="1"/>
  <c r="V15" i="1"/>
  <c r="V35" i="1"/>
  <c r="V18" i="1"/>
  <c r="V4" i="1"/>
  <c r="V11" i="1"/>
  <c r="V12" i="1"/>
  <c r="V19" i="1"/>
  <c r="V36" i="1"/>
  <c r="V26" i="1"/>
  <c r="V31" i="1"/>
  <c r="V38" i="1"/>
  <c r="V28" i="1"/>
  <c r="V30" i="1"/>
  <c r="V50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80" i="1" l="1"/>
  <c r="X79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G78" i="1" l="1"/>
  <c r="T3" i="1" s="1"/>
  <c r="T73" i="1"/>
  <c r="T34" i="1"/>
  <c r="T2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T80" i="1" l="1"/>
  <c r="T79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26" i="1"/>
  <c r="T38" i="1"/>
  <c r="T66" i="1"/>
  <c r="T43" i="1"/>
  <c r="T35" i="1"/>
  <c r="T55" i="1"/>
  <c r="T32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9" i="1"/>
  <c r="T33" i="1"/>
  <c r="T67" i="1"/>
  <c r="T10" i="1"/>
  <c r="T22" i="1"/>
  <c r="T42" i="1"/>
  <c r="T71" i="1"/>
  <c r="T47" i="1"/>
  <c r="T17" i="1"/>
  <c r="T48" i="1"/>
  <c r="T65" i="1"/>
  <c r="T36" i="1"/>
  <c r="T60" i="1"/>
  <c r="T13" i="1"/>
  <c r="T37" i="1"/>
  <c r="T53" i="1"/>
  <c r="T52" i="1"/>
  <c r="T29" i="1"/>
  <c r="T12" i="1"/>
  <c r="T54" i="1"/>
  <c r="T40" i="1"/>
  <c r="T9" i="1"/>
  <c r="T39" i="1"/>
  <c r="T59" i="1"/>
  <c r="T16" i="1"/>
  <c r="T62" i="1"/>
  <c r="T58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L74" i="1"/>
  <c r="L75" i="1" s="1"/>
  <c r="M69" i="1"/>
  <c r="AA59" i="1" l="1"/>
  <c r="AA79" i="1"/>
  <c r="AA80" i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14" i="1" s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2" i="1" l="1"/>
  <c r="Y52" i="1"/>
  <c r="Y68" i="1"/>
  <c r="Y26" i="1"/>
  <c r="Y54" i="1"/>
  <c r="Y59" i="1"/>
  <c r="Y78" i="1"/>
  <c r="Y80" i="1"/>
  <c r="Y79" i="1"/>
  <c r="Y2" i="1"/>
  <c r="Y49" i="1"/>
  <c r="Y40" i="1"/>
  <c r="Y12" i="1"/>
  <c r="Y43" i="1"/>
  <c r="Y53" i="1"/>
  <c r="Y27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l="1"/>
  <c r="Z79" i="1"/>
  <c r="Z80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<sst xmlns="http://schemas.openxmlformats.org/spreadsheetml/2006/main" count="908" uniqueCount="546">
  <si>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</si>
  <si>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</si>
  <si>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</si>
  <si>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</si>
  <si>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</si>
  <si>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</si>
  <si>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</si>
  <si>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</si>
  <si>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</si>
  <si>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</si>
  <si>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</si>
  <si>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</si>
  <si>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</si>
  <si>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</si>
  <si>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</si>
  <si>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</si>
  <si>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</si>
  <si>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</si>
  <si>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</si>
  <si>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</si>
  <si>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</si>
  <si>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</si>
  <si>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</si>
  <si>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</si>
  <si>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</si>
  <si>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</si>
  <si>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</si>
  <si>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</si>
  <si>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</si>
  <si>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</si>
  <si>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</si>
  <si>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</si>
  <si>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</si>
  <si>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</si>
  <si>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</si>
  <si>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</si>
  <si>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</si>
  <si>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</si>
  <si>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</si>
  <si>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</si>
  <si>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</si>
  <si>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</si>
  <si>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</si>
  <si>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</si>
  <si>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</si>
  <si>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</si>
  <si>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</si>
  <si>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</si>
  <si>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</si>
  <si>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</si>
  <si>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</si>
  <si>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</si>
  <si>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</si>
  <si>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</si>
  <si>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</si>
  <si>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</si>
  <si>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</si>
  <si>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</si>
  <si>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</si>
  <si>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</si>
  <si>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</si>
  <si>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</si>
  <si>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</si>
  <si>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</si>
  <si>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</si>
  <si>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</si>
  <si>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</si>
  <si>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</si>
  <si>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</si>
  <si>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</si>
  <si>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</si>
  <si>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</si>
  <si>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</si>
  <si>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</si>
  <si>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</si>
  <si>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</si>
  <si>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</si>
  <si>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</si>
  <si>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</si>
  <si>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</si>
  <si>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</si>
  <si>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</si>
  <si>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</si>
  <si>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</si>
  <si>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</si>
  <si>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</si>
  <si>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</si>
  <si>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</si>
  <si>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</si>
  <si>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</si>
  <si>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</si>
  <si>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</si>
  <si>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</si>
  <si>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</si>
  <si>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</si>
  <si>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</si>
  <si>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</si>
  <si>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</si>
  <si>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</si>
  <si>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</si>
  <si>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</si>
  <si>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</si>
  <si>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</si>
  <si>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</si>
  <si>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</si>
  <si>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</si>
  <si>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</si>
  <si>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</si>
  <si>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</si>
  <si>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</si>
  <si>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</si>
  <si>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</si>
  <si>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</si>
  <si>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</si>
  <si>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</si>
  <si>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</si>
  <si>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</si>
  <si>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</si>
  <si>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</si>
  <si>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</si>
  <si>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</si>
  <si>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</si>
  <si>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</si>
  <si>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</si>
  <si>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</si>
  <si>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</si>
  <si>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</si>
  <si>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</si>
  <si>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</si>
  <si>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</si>
  <si>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</si>
  <si>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</si>
  <si>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</si>
  <si>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</si>
  <si>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</si>
  <si>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</si>
  <si>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</si>
  <si>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</si>
  <si>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</si>
  <si>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</si>
  <si>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</si>
  <si>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</si>
  <si>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</si>
  <si>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</si>
  <si>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</si>
  <si>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</si>
  <si>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</si>
  <si>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</si>
  <si>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</si>
  <si>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</si>
  <si>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</si>
  <si>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</si>
  <si>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</si>
  <si>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</si>
  <si>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</si>
  <si>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</si>
  <si>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</si>
  <si>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</si>
  <si>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</si>
  <si>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</si>
  <si>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</si>
  <si>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</si>
  <si>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</si>
  <si>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</si>
  <si>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</si>
  <si>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</si>
  <si>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</si>
  <si>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</si>
  <si>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</si>
  <si>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</si>
  <si>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</si>
  <si>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</si>
  <si>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</si>
  <si>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</si>
  <si>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</si>
  <si>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</si>
  <si>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</si>
  <si>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</si>
  <si>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</si>
  <si>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</si>
  <si>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</si>
  <si>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</si>
  <si>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</si>
  <si>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</si>
  <si>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</si>
  <si>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</si>
  <si>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</si>
  <si>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</si>
  <si>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</si>
  <si>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</si>
  <si>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</si>
  <si>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</si>
  <si>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</si>
  <si>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</si>
  <si>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</si>
  <si>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</si>
  <si>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</si>
  <si>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</si>
  <si>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</si>
  <si>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</si>
  <si>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</si>
  <si>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</si>
  <si>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</si>
  <si>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</si>
  <si>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</si>
  <si>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</si>
  <si>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</si>
  <si>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</si>
  <si>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</si>
  <si>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</si>
  <si>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</si>
  <si>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</si>
  <si>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</si>
  <si>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</si>
  <si>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</si>
  <si>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</si>
  <si>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</si>
  <si>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</si>
  <si>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</si>
  <si>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</si>
  <si>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</si>
  <si>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</si>
  <si>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</si>
  <si>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</si>
  <si>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</si>
  <si>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</si>
  <si>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</si>
  <si>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</si>
  <si>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</si>
  <si>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</si>
  <si>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</si>
  <si>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</si>
  <si>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</si>
  <si>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</si>
  <si>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</si>
  <si>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</si>
  <si>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</si>
  <si>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</si>
  <si>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</si>
  <si>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</si>
  <si>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</si>
  <si>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</si>
  <si>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</si>
  <si>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</si>
  <si>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</si>
  <si>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</si>
  <si>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</si>
  <si>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</si>
  <si>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</si>
  <si>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</si>
  <si>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</si>
  <si>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</si>
  <si>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</si>
  <si>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</si>
  <si>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</si>
  <si>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</si>
  <si>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</si>
  <si>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</si>
  <si>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</si>
  <si>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</si>
  <si>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</si>
  <si>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</si>
  <si>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</si>
  <si>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</si>
  <si>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</si>
  <si>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</si>
  <si>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</si>
  <si>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</si>
  <si>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</si>
  <si>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</si>
  <si>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</si>
  <si>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</si>
  <si>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</si>
  <si>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</si>
  <si>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</si>
  <si>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</si>
  <si>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</si>
  <si>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</si>
  <si>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</si>
  <si>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</si>
  <si>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</si>
  <si>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</si>
  <si>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</si>
  <si>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</si>
  <si>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</si>
  <si>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</si>
  <si>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</si>
  <si>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</si>
  <si>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</si>
  <si>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</si>
  <si>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</si>
  <si>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</si>
  <si>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</si>
  <si>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</si>
  <si>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</si>
  <si>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</si>
  <si>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</si>
  <si>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</si>
  <si>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</si>
  <si>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</si>
  <si>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</si>
  <si>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</si>
  <si>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</si>
  <si>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</si>
  <si>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</si>
  <si>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</si>
  <si>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</si>
  <si>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</si>
  <si>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</si>
  <si>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</si>
  <si>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</si>
  <si>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</si>
  <si>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</si>
  <si>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</si>
  <si>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</si>
  <si>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</si>
  <si>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</si>
  <si>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</si>
  <si>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</si>
  <si>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</si>
  <si>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</si>
  <si>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</si>
  <si>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</si>
  <si>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</si>
  <si>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</si>
  <si>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</si>
  <si>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</si>
  <si>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</si>
  <si>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</si>
  <si>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</si>
  <si>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</si>
  <si>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</si>
  <si>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</si>
  <si>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</si>
  <si>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</si>
  <si>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</si>
  <si>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</si>
  <si>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</si>
  <si>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</si>
  <si>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</si>
  <si>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</si>
  <si>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</si>
  <si>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</si>
  <si>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</si>
  <si>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</si>
  <si>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</si>
  <si>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</si>
  <si>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</si>
  <si>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</si>
  <si>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</si>
  <si>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</si>
  <si>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</si>
  <si>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</si>
  <si>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</si>
  <si>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</si>
  <si>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</si>
  <si>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</si>
  <si>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</si>
  <si>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</si>
  <si>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</si>
  <si>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</si>
  <si>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</si>
  <si>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</si>
  <si>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</si>
  <si>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</si>
  <si>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</si>
  <si>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</si>
  <si>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</si>
  <si>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</si>
  <si>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</si>
  <si>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</si>
  <si>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</si>
  <si>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</si>
  <si>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</si>
  <si>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</si>
  <si>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</si>
  <si>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</si>
  <si>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</si>
  <si>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</si>
  <si>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</si>
  <si>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</si>
  <si>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</si>
  <si>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</si>
  <si>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</si>
  <si>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</si>
  <si>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</si>
  <si>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</si>
  <si>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</si>
  <si>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</si>
  <si>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</si>
  <si>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</si>
  <si>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</si>
  <si>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</si>
  <si>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</si>
  <si>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</si>
  <si>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</si>
  <si>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</si>
  <si>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</si>
  <si>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</si>
  <si>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</si>
  <si>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</si>
  <si>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</si>
  <si>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</si>
  <si>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</si>
  <si>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</si>
  <si>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</si>
  <si>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</si>
  <si>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</si>
  <si>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</si>
  <si>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</si>
  <si>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</si>
  <si>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</si>
  <si>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</si>
  <si>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</si>
  <si>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</si>
  <si>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</si>
  <si>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</si>
  <si>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</si>
  <si>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</si>
  <si>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</si>
  <si>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</si>
  <si>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</si>
  <si>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</si>
  <si>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</si>
  <si>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</si>
  <si>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</si>
  <si>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</si>
  <si>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</si>
  <si>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</si>
  <si>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</si>
  <si>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</si>
  <si>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</si>
  <si>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</si>
  <si>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</si>
  <si>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</si>
  <si>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</si>
  <si>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</si>
  <si>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</si>
  <si>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</si>
  <si>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</si>
  <si>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</si>
  <si>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</si>
  <si>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</si>
  <si>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</si>
  <si>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</si>
  <si>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</si>
  <si>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</si>
  <si>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</si>
  <si>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</si>
  <si>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</si>
  <si>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</si>
  <si>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</si>
  <si>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</si>
  <si>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</si>
  <si>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</si>
  <si>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</si>
  <si>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</si>
  <si>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</si>
  <si>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</si>
  <si>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</si>
  <si>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</si>
  <si>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</si>
  <si>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</si>
  <si>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</si>
  <si>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</si>
  <si>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</si>
  <si>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</si>
  <si>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</si>
  <si>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</si>
  <si>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</si>
  <si>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</si>
  <si>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</si>
  <si>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</si>
  <si>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</si>
  <si>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</si>
  <si>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</si>
  <si>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</si>
  <si>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</si>
  <si>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</si>
  <si>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</si>
  <si>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</si>
  <si>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</si>
  <si>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</si>
  <si>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</si>
  <si>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</si>
  <si>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</si>
  <si>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</si>
  <si>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</si>
  <si>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</si>
  <si>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</si>
  <si>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</si>
  <si>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</si>
  <si>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</si>
  <si>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</si>
  <si>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</si>
  <si>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</si>
  <si>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</si>
  <si>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</si>
  <si>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</si>
  <si>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</si>
  <si>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</si>
  <si>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</si>
  <si>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</si>
  <si>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</si>
  <si>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</si>
  <si>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</si>
  <si>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</si>
  <si>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</si>
  <si>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</si>
  <si>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</si>
  <si>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</si>
  <si>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</si>
  <si>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</si>
  <si>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</si>
  <si>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</si>
  <si>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</si>
  <si>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</si>
  <si>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</si>
  <si>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</si>
  <si>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</si>
  <si>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</si>
  <si>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</si>
  <si>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</si>
  <si>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</si>
  <si>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</si>
  <si>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DES, Metafor</t>
  </si>
  <si>
    <t xml:space="preserve">Совместно с д/кардиологом: с учетом клинических данных, ЭКГ и КАГ рекомендована реканализация бассейна ПНА. </t>
  </si>
  <si>
    <t>Куваева В.И.</t>
  </si>
  <si>
    <t>Левый</t>
  </si>
  <si>
    <t>стеноз устья 60%</t>
  </si>
  <si>
    <t>100 ml</t>
  </si>
  <si>
    <t>31:24</t>
  </si>
  <si>
    <t>Волженцева Ю.В.</t>
  </si>
  <si>
    <t>бассейн не контрастировался. См. протокол КАГ от 24.01.25г</t>
  </si>
  <si>
    <r>
      <rPr>
        <b/>
        <sz val="10"/>
        <color theme="1"/>
        <rFont val="Arial Narrow"/>
        <family val="2"/>
        <charset val="204"/>
      </rPr>
      <t>Состояние после стентирования ствола ЛКА-ПНА</t>
    </r>
    <r>
      <rPr>
        <sz val="10"/>
        <color theme="1"/>
        <rFont val="Arial Narrow"/>
        <family val="2"/>
        <charset val="204"/>
      </rPr>
      <t>.(</t>
    </r>
    <r>
      <rPr>
        <b/>
        <sz val="10"/>
        <color theme="1"/>
        <rFont val="Arial Narrow"/>
        <family val="2"/>
        <charset val="204"/>
      </rPr>
      <t>2DES</t>
    </r>
    <r>
      <rPr>
        <sz val="10"/>
        <color theme="1"/>
        <rFont val="Arial Narrow"/>
        <family val="2"/>
        <charset val="204"/>
      </rPr>
      <t xml:space="preserve">) </t>
    </r>
    <r>
      <rPr>
        <b/>
        <sz val="10"/>
        <color theme="1"/>
        <rFont val="Arial Narrow"/>
        <family val="2"/>
        <charset val="204"/>
      </rPr>
      <t>+ баллонная ангиопастика устья ОА</t>
    </r>
    <r>
      <rPr>
        <sz val="10"/>
        <color theme="1"/>
        <rFont val="Arial Narrow"/>
        <family val="2"/>
        <charset val="204"/>
      </rPr>
      <t xml:space="preserve">. На гастоящей каг определяется острый тромбоз стента в области устья ПНА, диффузные стенотические изменения на протяжении среднего и дистального сегментов 70% (d менее 2.0 мм, средний и дистальные сегменты нестентабельны ). Антеградный кровоток TIMI 0. TTG3. </t>
    </r>
    <r>
      <rPr>
        <sz val="11"/>
        <color theme="1"/>
        <rFont val="Arial Narrow"/>
        <family val="2"/>
        <charset val="204"/>
      </rPr>
      <t>Rentrop 0</t>
    </r>
  </si>
  <si>
    <t xml:space="preserve">стеноз устья с переходом на проксимальный сегмент 30%, стенозы дистального сегмента 70%, стеноз проксимальной/3 ВТК 70%. Антеградный кровоток TIMI III. В области устья ОА - признаки пристеночного тромбирования - TTG1. </t>
  </si>
  <si>
    <t>250 ml</t>
  </si>
  <si>
    <t>30 ml</t>
  </si>
  <si>
    <t>локтевой</t>
  </si>
  <si>
    <t>Повязка на руке до 12ч. Контроль места пункции.</t>
  </si>
  <si>
    <t xml:space="preserve">Катетеризация устья ствола ЛКА   Launcher JL 3.5 6Fr c последующей заменой на катетер  Launcher EBU 3.5 6Fr. Коронарные проводники Shunmei 0.7 и Sion  заведены в дистальный сегмент ПНА и ОА. В ПНА проводник через зону тромбоза проведен с техническими сложностями. Реканализация артерии  выполнена аспирационным катетером Medtronic Export Advance  6Fr и БК Колибри 2.0 - 15.  В зону СТВОЛА ЛКА - ПРОКСИМАЛЬНЫЙ сегмент ПНА с полным покрытием устья ствола ЛКА имплантирован  DES Evermine 3,5 х 48 мм, давлением 14 атм. Выполнена постдилатация  зоны бифуркации, ствола ЛКА и устья ЛКА БК Аксиома NC 4,5 х 6 мм, давлением 18 атм. Постдилатация стента в зоне проксимального сегмента ПНА выполнена БК Artimes 3.5-12, давлением 16 атм. Оптимизация ячейки устья ОА БК Artimes 3.5-12, давлением 12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ПНА и ОА TIMI III. Ангиографический результат удовлетворительный. Пациентка  транспортируется в ПРИТ для дальнейшего наблюдения и лечения. </t>
  </si>
  <si>
    <t>Shunmei 0.6</t>
  </si>
  <si>
    <t>Shunmei 0.7</t>
  </si>
  <si>
    <t>Artimes</t>
  </si>
  <si>
    <t>3,5 - 48</t>
  </si>
  <si>
    <t>Тромбоз стента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</si>
</sst>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10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6" sqref="I1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7.2916666666666671E-2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7.9861111111111105E-2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527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20777</v>
      </c>
      <c r="C12" s="11"/>
      <c r="D12" s="94" t="s">
        <v>302</v>
      </c>
      <c r="E12" s="92"/>
      <c r="F12" s="92"/>
      <c r="G12" s="23" t="s">
        <v>532</v>
      </c>
      <c r="H12" s="25"/>
    </row>
    <row r="13" spans="1:8" ht="15.75">
      <c r="A13" s="14" t="s">
        <v>10</v>
      </c>
      <c r="B13" s="29">
        <f>DATEDIF(B12,B8,"y")</f>
        <v>68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2046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531</v>
      </c>
    </row>
    <row r="16" spans="1:8" ht="15.6" customHeight="1">
      <c r="A16" s="14" t="s">
        <v>106</v>
      </c>
      <c r="B16" s="18" t="s">
        <v>545</v>
      </c>
      <c r="C16"/>
      <c r="D16" s="35"/>
      <c r="E16" s="35"/>
      <c r="F16" s="35"/>
      <c r="G16" s="165" t="s">
        <v>399</v>
      </c>
      <c r="H16" s="163">
        <v>12900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24.51</v>
      </c>
    </row>
    <row r="18" spans="1:8" ht="14.45" customHeight="1">
      <c r="A18" s="56" t="s">
        <v>188</v>
      </c>
      <c r="B18" s="86" t="s">
        <v>528</v>
      </c>
      <c r="C18"/>
      <c r="D18" s="27" t="s">
        <v>210</v>
      </c>
      <c r="E18" s="27"/>
      <c r="F18" s="27"/>
      <c r="G18" s="84" t="s">
        <v>189</v>
      </c>
      <c r="H18" s="85" t="s">
        <v>538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529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535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526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Вмешательства!$F$3:$F$10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218</v>
      </c>
      <c r="D8" s="244"/>
      <c r="E8" s="244"/>
      <c r="F8" s="189">
        <v>1</v>
      </c>
      <c r="G8" s="117" t="s">
        <v>308</v>
      </c>
      <c r="H8" s="157" t="s">
        <v>346</v>
      </c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7.9861111111111105E-2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0.16666666666666666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8.6805555555555552E-2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Куваева В.И.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20777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2046</v>
      </c>
      <c r="C19" s="68"/>
      <c r="D19" s="68"/>
      <c r="E19" s="68"/>
      <c r="F19" s="68"/>
      <c r="G19" s="164" t="s">
        <v>397</v>
      </c>
      <c r="H19" s="179" t="str">
        <f>КАГ!H15</f>
        <v>31:24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12900</v>
      </c>
    </row>
    <row r="21" spans="1:8" ht="14.45" customHeight="1">
      <c r="A21" s="14" t="s">
        <v>106</v>
      </c>
      <c r="B21" s="66" t="str">
        <f>КАГ!B16</f>
        <v>Тромбоз стента</v>
      </c>
      <c r="C21" s="69"/>
      <c r="D21"/>
      <c r="E21" s="70"/>
      <c r="F21" s="70"/>
      <c r="G21" s="166" t="s">
        <v>386</v>
      </c>
      <c r="H21" s="167">
        <f>КАГ!H17</f>
        <v>24.51</v>
      </c>
    </row>
    <row r="22" spans="1:8" ht="14.45" customHeight="1">
      <c r="A22" s="56" t="str">
        <f>КАГ!G18</f>
        <v>Доступ:</v>
      </c>
      <c r="B22" s="76" t="str">
        <f>КАГ!H18</f>
        <v>локтевой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v>0.11944444444444445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540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537</v>
      </c>
      <c r="C40" s="119"/>
      <c r="D40" s="249" t="s">
        <v>539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536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стеноз устья 60%
Бассейн ПНА:   Состояние после стентирования ствола ЛКА-ПНА.(2DES) + баллонная ангиопастика устья ОА. На гастоящей каг определяется острый тромбоз стента в области устья ПНА, диффузные стенотические изменения на протяжении среднего и дистального сегментов 70% (d менее 2.0 мм, средний и дистальные сегменты нестентабельны ). Антеградный кровоток TIMI 0. TTG3. Rentrop 0
Бассейн  ОА:   стеноз устья с переходом на проксимальный сегмент 30%, стенозы дистального сегмента 70%, стеноз проксимальной/3 ВТК 70%. Антеградный кровоток TIMI III. В области устья ОА - признаки пристеночного тромбирования - TTG1. 
Бассейн ПКА:   бассейн не контрастировался. См. протокол КАГ от 24.01.25г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2" sqref="F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45694</v>
      </c>
      <c r="C2" s="151" t="s">
        <v>336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Куваева В.И.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20777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68</v>
      </c>
    </row>
    <row r="7" spans="1:4">
      <c r="A7" s="37"/>
      <c r="B7"/>
      <c r="C7" s="100" t="s">
        <v>12</v>
      </c>
      <c r="D7" s="102">
        <f>КАГ!$B$14</f>
        <v>2046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Тромбоз стента</v>
      </c>
    </row>
    <row r="10" spans="1:4">
      <c r="A10" s="194"/>
      <c r="B10" s="30"/>
      <c r="C10" s="149" t="s">
        <v>13</v>
      </c>
      <c r="D10" s="150">
        <f>КАГ!$B$8</f>
        <v>45694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3" t="s">
        <v>324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3" t="s">
        <v>542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3" t="s">
        <v>314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3" t="s">
        <v>368</v>
      </c>
      <c r="C18" s="134"/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373</v>
      </c>
      <c r="C19" s="181" t="s">
        <v>404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4" t="s">
        <v>373</v>
      </c>
      <c r="C20" s="134" t="s">
        <v>401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3" t="s">
        <v>512</v>
      </c>
      <c r="C21" s="134" t="s">
        <v>425</v>
      </c>
      <c r="D21" s="139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2" s="153" t="s">
        <v>543</v>
      </c>
      <c r="C22" s="134" t="s">
        <v>416</v>
      </c>
      <c r="D22" s="139">
        <v>1</v>
      </c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53" t="s">
        <v>516</v>
      </c>
      <c r="C23" s="134" t="s">
        <v>544</v>
      </c>
      <c r="D23" s="139">
        <v>1</v>
      </c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sheet="1" objects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U19" sqref="U19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398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F10" s="256" t="s">
        <v>545</v>
      </c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394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486</v>
      </c>
      <c r="V17" t="s">
        <v>395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501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9" sqref="C1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0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4" t="str">
        <f>IFERROR(INDEX(Расходка[Наименование расходного материала],MATCH(Расходка[[#This Row],[№]],Поиск_расходки[Индекс3],0)),"")</f>
        <v>Launcher 6F EBU 3.5</v>
      </c>
      <c r="U2" s="114" t="str">
        <f>IFERROR(INDEX(Расходка[Наименование расходного материала],MATCH(Расходка[[#This Row],[№]],Поиск_расходки[Индекс4],0)),"")</f>
        <v>Shunmei 0.7</v>
      </c>
      <c r="V2" s="114" t="str">
        <f>IFERROR(INDEX(Расходка[Наименование расходного материала],MATCH(Расходка[[#This Row],[№]],Поиск_расходки[Индекс5],0)),"")</f>
        <v>Sion</v>
      </c>
      <c r="W2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4" t="str">
        <f>IFERROR(INDEX(Расходка[Наименование расходного материала],MATCH(Расходка[[#This Row],[№]],Поиск_расходки[Индекс7],0)),"")</f>
        <v>Колибри</v>
      </c>
      <c r="Y2" s="114" t="str">
        <f>IFERROR(INDEX(Расходка[Наименование расходного материала],MATCH(Расходка[[#This Row],[№]],Поиск_расходки[Индекс8],0)),"")</f>
        <v>Колибри</v>
      </c>
      <c r="Z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2" s="114" t="str">
        <f>IFERROR(INDEX(Расходка[Наименование расходного материала],MATCH(Расходка[[#This Row],[№]],Поиск_расходки[Индекс10],0)),"")</f>
        <v>Artimes</v>
      </c>
      <c r="AB2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1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0</v>
      </c>
      <c r="O3" s="115">
        <f>IF(ISNUMBER(SEARCH('Карта учёта'!$B$23,Расходка[[#This Row],[Наименование расходного материала]])),MAX($O$1:O2)+1,0)</f>
        <v>0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>Sion Black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/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0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>Sion Blue</v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/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0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/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0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/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0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/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0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/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0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/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1</v>
      </c>
      <c r="L10" s="115">
        <f>IF(ISNUMBER(SEARCH('Карта учёта'!$B$20,Расходка[[#This Row],[Наименование расходного материала]])),MAX($L$1:L9)+1,0)</f>
        <v>1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0</v>
      </c>
      <c r="O10" s="115">
        <f>IF(ISNUMBER(SEARCH('Карта учёта'!$B$23,Расходка[[#This Row],[Наименование расходного материала]])),MAX($O$1:O9)+1,0)</f>
        <v>0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/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2</v>
      </c>
      <c r="L11" s="115">
        <f>IF(ISNUMBER(SEARCH('Карта учёта'!$B$20,Расходка[[#This Row],[Наименование расходного материала]])),MAX($L$1:L10)+1,0)</f>
        <v>2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0</v>
      </c>
      <c r="O11" s="115">
        <f>IF(ISNUMBER(SEARCH('Карта учёта'!$B$23,Расходка[[#This Row],[Наименование расходного материала]])),MAX($O$1:O10)+1,0)</f>
        <v>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/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0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/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543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</v>
      </c>
      <c r="O13" s="115">
        <f>IF(ISNUMBER(SEARCH('Карта учёта'!$B$23,Расходка[[#This Row],[Наименование расходного материала]])),MAX($O$1:O12)+1,0)</f>
        <v>0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/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s="1" t="s">
        <v>332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0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/>
      </c>
      <c r="AC14" s="114" t="str">
        <f>IFERROR(INDEX(Расходка[Наименование расходного материала],MATCH(Расходка[[#This Row],[№]],Поиск_расходки[Индекс12],0)),"")</f>
        <v>Nitrex 260</v>
      </c>
      <c r="AD14" s="114" t="str">
        <f>IFERROR(INDEX(Расходка[Наименование расходного материала],MATCH(Расходка[[#This Row],[№]],Поиск_расходки[Индекс13],0)),"")</f>
        <v>Nitrex 260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t="s">
        <v>364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0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/>
      </c>
      <c r="AC15" s="114" t="str">
        <f>IFERROR(INDEX(Расходка[Наименование расходного материала],MATCH(Расходка[[#This Row],[№]],Поиск_расходки[Индекс12],0)),"")</f>
        <v>RadiFocus</v>
      </c>
      <c r="AD15" s="114" t="str">
        <f>IFERROR(INDEX(Расходка[Наименование расходного материала],MATCH(Расходка[[#This Row],[№]],Поиск_расходки[Индекс13],0)),"")</f>
        <v>RadiFocus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331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0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/>
      </c>
      <c r="AC16" s="114" t="str">
        <f>IFERROR(INDEX(Расходка[Наименование расходного материала],MATCH(Расходка[[#This Row],[№]],Поиск_расходки[Индекс12],0)),"")</f>
        <v>BasixCOMPAK</v>
      </c>
      <c r="AD16" s="114" t="str">
        <f>IFERROR(INDEX(Расходка[Наименование расходного материала],MATCH(Расходка[[#This Row],[№]],Поиск_расходки[Индекс13],0)),"")</f>
        <v>BasixCOMPAK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361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0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/>
      </c>
      <c r="AC17" s="114" t="str">
        <f>IFERROR(INDEX(Расходка[Наименование расходного материала],MATCH(Расходка[[#This Row],[№]],Поиск_расходки[Индекс12],0)),"")</f>
        <v>BasixTOUCH</v>
      </c>
      <c r="AD17" s="114" t="str">
        <f>IFERROR(INDEX(Расходка[Наименование расходного материала],MATCH(Расходка[[#This Row],[№]],Поиск_расходки[Индекс13],0)),"")</f>
        <v>BasixTOUCH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353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0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/>
      </c>
      <c r="AC18" s="114" t="str">
        <f>IFERROR(INDEX(Расходка[Наименование расходного материала],MATCH(Расходка[[#This Row],[№]],Поиск_расходки[Индекс12],0)),"")</f>
        <v>Dolphin</v>
      </c>
      <c r="AD18" s="114" t="str">
        <f>IFERROR(INDEX(Расходка[Наименование расходного материала],MATCH(Расходка[[#This Row],[№]],Поиск_расходки[Индекс13],0)),"")</f>
        <v>Dolphin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374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0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/>
      </c>
      <c r="AC19" s="114" t="str">
        <f>IFERROR(INDEX(Расходка[Наименование расходного материала],MATCH(Расходка[[#This Row],[№]],Поиск_расходки[Индекс12],0)),"")</f>
        <v>Lepu Medical</v>
      </c>
      <c r="AD19" s="114" t="str">
        <f>IFERROR(INDEX(Расходка[Наименование расходного материала],MATCH(Расходка[[#This Row],[№]],Поиск_расходки[Индекс13],0)),"")</f>
        <v>Lepu Medical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366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0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/>
      </c>
      <c r="AC20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0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503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/>
      </c>
      <c r="AC21" s="114" t="str">
        <f>IFERROR(INDEX(Расходка[Наименование расходного материала],MATCH(Расходка[[#This Row],[№]],Поиск_расходки[Индекс12],0)),"")</f>
        <v>Demax</v>
      </c>
      <c r="AD21" s="114" t="str">
        <f>IFERROR(INDEX(Расходка[Наименование расходного материала],MATCH(Расходка[[#This Row],[№]],Поиск_расходки[Индекс13],0)),"")</f>
        <v>Demax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206</v>
      </c>
      <c r="C22" s="1" t="s">
        <v>337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0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/>
      </c>
      <c r="AC22" s="114" t="str">
        <f>IFERROR(INDEX(Расходка[Наименование расходного материала],MATCH(Расходка[[#This Row],[№]],Поиск_расходки[Индекс12],0)),"")</f>
        <v>Oscor 7F</v>
      </c>
      <c r="AD22" s="114" t="str">
        <f>IFERROR(INDEX(Расходка[Наименование расходного материала],MATCH(Расходка[[#This Row],[№]],Поиск_расходки[Индекс13],0)),"")</f>
        <v>Oscor 7F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505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0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/>
      </c>
      <c r="AC23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3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0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/>
      </c>
      <c r="AC24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4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305</v>
      </c>
      <c r="E25" s="115">
        <f>IF(ISNUMBER(SEARCH('Карта учёта'!$B$13,Расходка[[#This Row],[Наименование расходного материала]])),MAX($E$1:E24)+1,0)</f>
        <v>1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0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/>
      </c>
      <c r="AC25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5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320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0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/>
      </c>
      <c r="AC26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341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0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/>
      </c>
      <c r="AC27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0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/>
      </c>
      <c r="AC28" s="114" t="str">
        <f>IFERROR(INDEX(Расходка[Наименование расходного материала],MATCH(Расходка[[#This Row],[№]],Поиск_расходки[Индекс12],0)),"")</f>
        <v>Fielder</v>
      </c>
      <c r="AD28" s="114" t="str">
        <f>IFERROR(INDEX(Расходка[Наименование расходного материала],MATCH(Расходка[[#This Row],[№]],Поиск_расходки[Индекс13],0)),"")</f>
        <v>Fielder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0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/>
      </c>
      <c r="AC29" s="114" t="str">
        <f>IFERROR(INDEX(Расходка[Наименование расходного материала],MATCH(Расходка[[#This Row],[№]],Поиск_расходки[Индекс12],0)),"")</f>
        <v>Fielder XT-A</v>
      </c>
      <c r="AD29" s="114" t="str">
        <f>IFERROR(INDEX(Расходка[Наименование расходного материала],MATCH(Расходка[[#This Row],[№]],Поиск_расходки[Индекс13],0)),"")</f>
        <v>Fielder XT-A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0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/>
      </c>
      <c r="AC30" s="114" t="str">
        <f>IFERROR(INDEX(Расходка[Наименование расходного материала],MATCH(Расходка[[#This Row],[№]],Поиск_расходки[Индекс12],0)),"")</f>
        <v>Fielder XT-R</v>
      </c>
      <c r="AD30" s="114" t="str">
        <f>IFERROR(INDEX(Расходка[Наименование расходного материала],MATCH(Расходка[[#This Row],[№]],Поиск_расходки[Индекс13],0)),"")</f>
        <v>Fielder XT-R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509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/>
      </c>
      <c r="AC31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1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510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0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/>
      </c>
      <c r="AC32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0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/>
      </c>
      <c r="AC33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321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0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/>
      </c>
      <c r="AC34" s="114" t="str">
        <f>IFERROR(INDEX(Расходка[Наименование расходного материала],MATCH(Расходка[[#This Row],[№]],Поиск_расходки[Индекс12],0)),"")</f>
        <v>Intuition</v>
      </c>
      <c r="AD34" s="114" t="str">
        <f>IFERROR(INDEX(Расходка[Наименование расходного материала],MATCH(Расходка[[#This Row],[№]],Поиск_расходки[Индекс13],0)),"")</f>
        <v>Intuition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0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/>
      </c>
      <c r="AC35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0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/>
      </c>
      <c r="AC36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319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0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/>
      </c>
      <c r="AC37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0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/>
      </c>
      <c r="AC38" s="114" t="str">
        <f>IFERROR(INDEX(Расходка[Наименование расходного материала],MATCH(Расходка[[#This Row],[№]],Поиск_расходки[Индекс12],0)),"")</f>
        <v>Rinato</v>
      </c>
      <c r="AD38" s="114" t="str">
        <f>IFERROR(INDEX(Расходка[Наименование расходного материала],MATCH(Расходка[[#This Row],[№]],Поиск_расходки[Индекс13],0)),"")</f>
        <v>Rinato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352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0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/>
      </c>
      <c r="AC39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359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0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/>
      </c>
      <c r="AC40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/>
      </c>
      <c r="AC41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314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1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0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/>
      </c>
      <c r="AC42" s="114" t="str">
        <f>IFERROR(INDEX(Расходка[Наименование расходного материала],MATCH(Расходка[[#This Row],[№]],Поиск_расходки[Индекс12],0)),"")</f>
        <v>Sion</v>
      </c>
      <c r="AD42" s="114" t="str">
        <f>IFERROR(INDEX(Расходка[Наименование расходного материала],MATCH(Расходка[[#This Row],[№]],Поиск_расходки[Индекс13],0)),"")</f>
        <v>Sion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376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2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0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/>
      </c>
      <c r="AC43" s="114" t="str">
        <f>IFERROR(INDEX(Расходка[Наименование расходного материала],MATCH(Расходка[[#This Row],[№]],Поиск_расходки[Индекс12],0)),"")</f>
        <v>Sion Black</v>
      </c>
      <c r="AD43" s="114" t="str">
        <f>IFERROR(INDEX(Расходка[Наименование расходного материала],MATCH(Расходка[[#This Row],[№]],Поиск_расходки[Индекс13],0)),"")</f>
        <v>Sion Black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s="1" t="s">
        <v>370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3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0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/>
      </c>
      <c r="AC44" s="114" t="str">
        <f>IFERROR(INDEX(Расходка[Наименование расходного материала],MATCH(Расходка[[#This Row],[№]],Поиск_расходки[Индекс12],0)),"")</f>
        <v>Sion Blue</v>
      </c>
      <c r="AD44" s="114" t="str">
        <f>IFERROR(INDEX(Расходка[Наименование расходного материала],MATCH(Расходка[[#This Row],[№]],Поиск_расходки[Индекс13],0)),"")</f>
        <v>Sion Blue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316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0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/>
      </c>
      <c r="AC45" s="114" t="str">
        <f>IFERROR(INDEX(Расходка[Наименование расходного материала],MATCH(Расходка[[#This Row],[№]],Поиск_расходки[Индекс12],0)),"")</f>
        <v>Thunder</v>
      </c>
      <c r="AD45" s="114" t="str">
        <f>IFERROR(INDEX(Расходка[Наименование расходного материала],MATCH(Расходка[[#This Row],[№]],Поиск_расходки[Индекс13],0)),"")</f>
        <v>Thunder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0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/>
      </c>
      <c r="AC46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518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0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/>
      </c>
      <c r="AC47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360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0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/>
      </c>
      <c r="AC48" s="114" t="str">
        <f>IFERROR(INDEX(Расходка[Наименование расходного материала],MATCH(Расходка[[#This Row],[№]],Поиск_расходки[Индекс12],0)),"")</f>
        <v>Winn 200T</v>
      </c>
      <c r="AD48" s="114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0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/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508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0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/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/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0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/>
      </c>
      <c r="AC52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541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0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/>
      </c>
      <c r="AC53" s="114" t="str">
        <f>IFERROR(INDEX(Расходка[Наименование расходного материала],MATCH(Расходка[[#This Row],[№]],Поиск_расходки[Индекс12],0)),"")</f>
        <v>Shunmei 0.6</v>
      </c>
      <c r="AD53" s="114" t="str">
        <f>IFERROR(INDEX(Расходка[Наименование расходного материала],MATCH(Расходка[[#This Row],[№]],Поиск_расходки[Индекс13],0)),"")</f>
        <v>Shunmei 0.6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519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0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/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0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/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4</v>
      </c>
      <c r="C56" t="s">
        <v>542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1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0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/>
      </c>
      <c r="AC56" s="114" t="str">
        <f>IFERROR(INDEX(Расходка[Наименование расходного материала],MATCH(Расходка[[#This Row],[№]],Поиск_расходки[Индекс12],0)),"")</f>
        <v>Shunmei 0.7</v>
      </c>
      <c r="AD56" s="114" t="str">
        <f>IFERROR(INDEX(Расходка[Наименование расходного материала],MATCH(Расходка[[#This Row],[№]],Поиск_расходки[Индекс13],0)),"")</f>
        <v>Shunmei 0.7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0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/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0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/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4" t="s">
        <v>525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0</v>
      </c>
      <c r="O59" s="115">
        <f>IF(ISNUMBER(SEARCH('Карта учёта'!$B$23,Расходка[[#This Row],[Наименование расходного материала]])),MAX($O$1:O58)+1,0)</f>
        <v>0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/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0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/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/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356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0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/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384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0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/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0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/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0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/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516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1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/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0</v>
      </c>
      <c r="O67" s="196">
        <f>IF(ISNUMBER(SEARCH('Карта учёта'!$B$23,Расходка[[#This Row],[Наименование расходного материала]])),MAX($O$1:O66)+1,0)</f>
        <v>0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/>
      </c>
      <c r="AB67" s="197" t="str">
        <f>IFERROR(INDEX(Расходка[Наименование расходного материала],MATCH(Расходка[[#This Row],[№]],Поиск_расходки[Индекс11],0)),"")</f>
        <v/>
      </c>
      <c r="AC67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0</v>
      </c>
      <c r="O68" s="196">
        <f>IF(ISNUMBER(SEARCH('Карта учёта'!$B$23,Расходка[[#This Row],[Наименование расходного материала]])),MAX($O$1:O67)+1,0)</f>
        <v>0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/>
      </c>
      <c r="AB68" s="197" t="str">
        <f>IFERROR(INDEX(Расходка[Наименование расходного материала],MATCH(Расходка[[#This Row],[№]],Поиск_расходки[Индекс11],0)),"")</f>
        <v/>
      </c>
      <c r="AC68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0</v>
      </c>
      <c r="O69" s="196">
        <f>IF(ISNUMBER(SEARCH('Карта учёта'!$B$23,Расходка[[#This Row],[Наименование расходного материала]])),MAX($O$1:O68)+1,0)</f>
        <v>0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/>
      </c>
      <c r="AB69" s="197" t="str">
        <f>IFERROR(INDEX(Расходка[Наименование расходного материала],MATCH(Расходка[[#This Row],[№]],Поиск_расходки[Индекс11],0)),"")</f>
        <v/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350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0</v>
      </c>
      <c r="O70" s="196">
        <f>IF(ISNUMBER(SEARCH('Карта учёта'!$B$23,Расходка[[#This Row],[Наименование расходного материала]])),MAX($O$1:O69)+1,0)</f>
        <v>0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/>
      </c>
      <c r="AB70" s="197" t="str">
        <f>IFERROR(INDEX(Расходка[Наименование расходного материала],MATCH(Расходка[[#This Row],[№]],Поиск_расходки[Индекс11],0)),"")</f>
        <v/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324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1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0</v>
      </c>
      <c r="O71" s="196">
        <f>IF(ISNUMBER(SEARCH('Карта учёта'!$B$23,Расходка[[#This Row],[Наименование расходного материала]])),MAX($O$1:O70)+1,0)</f>
        <v>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/>
      </c>
      <c r="AB71" s="197" t="str">
        <f>IFERROR(INDEX(Расходка[Наименование расходного материала],MATCH(Расходка[[#This Row],[№]],Поиск_расходки[Индекс11],0)),"")</f>
        <v/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0</v>
      </c>
      <c r="O72" s="196">
        <f>IF(ISNUMBER(SEARCH('Карта учёта'!$B$23,Расходка[[#This Row],[Наименование расходного материала]])),MAX($O$1:O71)+1,0)</f>
        <v>0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/>
      </c>
      <c r="AB72" s="197" t="str">
        <f>IFERROR(INDEX(Расходка[Наименование расходного материала],MATCH(Расходка[[#This Row],[№]],Поиск_расходки[Индекс11],0)),"")</f>
        <v/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326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0</v>
      </c>
      <c r="O73" s="196">
        <f>IF(ISNUMBER(SEARCH('Карта учёта'!$B$23,Расходка[[#This Row],[Наименование расходного материала]])),MAX($O$1:O72)+1,0)</f>
        <v>0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/>
      </c>
      <c r="AB73" s="197" t="str">
        <f>IFERROR(INDEX(Расходка[Наименование расходного материала],MATCH(Расходка[[#This Row],[№]],Поиск_расходки[Индекс11],0)),"")</f>
        <v/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327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0</v>
      </c>
      <c r="O74" s="196">
        <f>IF(ISNUMBER(SEARCH('Карта учёта'!$B$23,Расходка[[#This Row],[Наименование расходного материала]])),MAX($O$1:O73)+1,0)</f>
        <v>0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/>
      </c>
      <c r="AB74" s="197" t="str">
        <f>IFERROR(INDEX(Расходка[Наименование расходного материала],MATCH(Расходка[[#This Row],[№]],Поиск_расходки[Индекс11],0)),"")</f>
        <v/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0</v>
      </c>
      <c r="O75" s="196">
        <f>IF(ISNUMBER(SEARCH('Карта учёта'!$B$23,Расходка[[#This Row],[Наименование расходного материала]])),MAX($O$1:O74)+1,0)</f>
        <v>0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/>
      </c>
      <c r="AB75" s="197" t="str">
        <f>IFERROR(INDEX(Расходка[Наименование расходного материала],MATCH(Расходка[[#This Row],[№]],Поиск_расходки[Индекс11],0)),"")</f>
        <v/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0</v>
      </c>
      <c r="O76" s="196">
        <f>IF(ISNUMBER(SEARCH('Карта учёта'!$B$23,Расходка[[#This Row],[Наименование расходного материала]])),MAX($O$1:O75)+1,0)</f>
        <v>0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/>
      </c>
      <c r="AB76" s="197" t="str">
        <f>IFERROR(INDEX(Расходка[Наименование расходного материала],MATCH(Расходка[[#This Row],[№]],Поиск_расходки[Индекс11],0)),"")</f>
        <v/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0</v>
      </c>
      <c r="O77" s="196">
        <f>IF(ISNUMBER(SEARCH('Карта учёта'!$B$23,Расходка[[#This Row],[Наименование расходного материала]])),MAX($O$1:O76)+1,0)</f>
        <v>0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/>
      </c>
      <c r="AB77" s="197" t="str">
        <f>IFERROR(INDEX(Расходка[Наименование расходного материала],MATCH(Расходка[[#This Row],[№]],Поиск_расходки[Индекс11],0)),"")</f>
        <v/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0</v>
      </c>
      <c r="N79" s="196">
        <f>IF(ISNUMBER(SEARCH('Карта учёта'!$B$22,Расходка[[#This Row],[Наименование расходного материала]])),MAX($N$1:N78)+1,0)</f>
        <v>0</v>
      </c>
      <c r="O79" s="196">
        <f>IF(ISNUMBER(SEARCH('Карта учёта'!$B$23,Расходка[[#This Row],[Наименование расходного материала]])),MAX($O$1:O78)+1,0)</f>
        <v>0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/>
      </c>
      <c r="AA79" s="197" t="str">
        <f>IFERROR(INDEX(Расходка[Наименование расходного материала],MATCH(Расходка[[#This Row],[№]],Поиск_расходки[Индекс10],0)),"")</f>
        <v/>
      </c>
      <c r="AB79" s="197" t="str">
        <f>IFERROR(INDEX(Расходка[Наименование расходного материала],MATCH(Расходка[[#This Row],[№]],Поиск_расходки[Индекс11],0)),"")</f>
        <v/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301</v>
      </c>
      <c r="C80" s="1" t="s">
        <v>330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0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AF85" s="4" t="s">
        <v>6</v>
      </c>
      <c r="AG85" s="4" t="s">
        <v>424</v>
      </c>
    </row>
    <row r="86" spans="5:33"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2025-02-06T01:40:20Z</cp:lastPrinted>
  <dcterms:created xsi:type="dcterms:W3CDTF">2015-06-05T18:19:34Z</dcterms:created>
  <dcterms:modified xsi:type="dcterms:W3CDTF">2025-02-06T01:55:14Z</dcterms:modified>
</cp:coreProperties>
</file>