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9040" windowHeight="15840" activeTab="1"/>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 i="1" l="1"/>
  <c r="E80" i="1"/>
  <c r="E81" i="1"/>
  <c r="E82" i="1"/>
  <c r="E83" i="1"/>
  <c r="E84" i="1"/>
  <c r="E85" i="1"/>
  <c r="E86" i="1"/>
  <c r="F80" i="1"/>
  <c r="F81" i="1"/>
  <c r="F82" i="1"/>
  <c r="F83" i="1"/>
  <c r="F84" i="1"/>
  <c r="F85" i="1"/>
  <c r="F86" i="1"/>
  <c r="G80" i="1"/>
  <c r="G81" i="1"/>
  <c r="G82" i="1"/>
  <c r="G83" i="1"/>
  <c r="G84" i="1"/>
  <c r="G85" i="1"/>
  <c r="G86" i="1"/>
  <c r="H80" i="1"/>
  <c r="H81" i="1"/>
  <c r="H82" i="1"/>
  <c r="H83" i="1"/>
  <c r="H84" i="1"/>
  <c r="H85" i="1"/>
  <c r="H86" i="1"/>
  <c r="I80" i="1"/>
  <c r="I81" i="1"/>
  <c r="I82" i="1"/>
  <c r="I83" i="1"/>
  <c r="I84" i="1"/>
  <c r="I85" i="1"/>
  <c r="I86" i="1"/>
  <c r="J80" i="1"/>
  <c r="J81" i="1"/>
  <c r="J82" i="1"/>
  <c r="J83" i="1"/>
  <c r="J84" i="1"/>
  <c r="J85" i="1"/>
  <c r="J86" i="1"/>
  <c r="K80" i="1"/>
  <c r="K81" i="1"/>
  <c r="K82" i="1"/>
  <c r="K83" i="1"/>
  <c r="K84" i="1"/>
  <c r="K85" i="1"/>
  <c r="K86" i="1"/>
  <c r="L80" i="1"/>
  <c r="L81" i="1"/>
  <c r="L82" i="1"/>
  <c r="L83" i="1"/>
  <c r="L84" i="1"/>
  <c r="L85" i="1"/>
  <c r="L86" i="1"/>
  <c r="M80" i="1"/>
  <c r="M81" i="1"/>
  <c r="M82" i="1"/>
  <c r="M83" i="1"/>
  <c r="M84" i="1"/>
  <c r="M85" i="1"/>
  <c r="M86" i="1"/>
  <c r="N79" i="1"/>
  <c r="N80" i="1"/>
  <c r="N81" i="1"/>
  <c r="N82" i="1"/>
  <c r="N83" i="1"/>
  <c r="N84" i="1"/>
  <c r="N85" i="1"/>
  <c r="N86" i="1"/>
  <c r="O79" i="1"/>
  <c r="O80" i="1"/>
  <c r="O81" i="1"/>
  <c r="O82" i="1"/>
  <c r="O83" i="1"/>
  <c r="O84" i="1"/>
  <c r="O85" i="1"/>
  <c r="O86" i="1"/>
  <c r="P79" i="1"/>
  <c r="P80" i="1"/>
  <c r="P81" i="1"/>
  <c r="P82" i="1"/>
  <c r="P83" i="1"/>
  <c r="P84" i="1"/>
  <c r="P85" i="1"/>
  <c r="P86" i="1"/>
  <c r="Q79" i="1"/>
  <c r="Q80" i="1"/>
  <c r="Q81" i="1"/>
  <c r="Q82" i="1"/>
  <c r="Q83" i="1"/>
  <c r="Q84" i="1"/>
  <c r="Q85" i="1"/>
  <c r="Q86" i="1"/>
  <c r="R79" i="1"/>
  <c r="R80" i="1"/>
  <c r="R81" i="1"/>
  <c r="R82" i="1"/>
  <c r="R83" i="1"/>
  <c r="R84" i="1"/>
  <c r="R85" i="1"/>
  <c r="R86" i="1"/>
  <c r="S80" i="1"/>
  <c r="S81" i="1"/>
  <c r="S82" i="1"/>
  <c r="S83" i="1"/>
  <c r="S84" i="1"/>
  <c r="S85" i="1"/>
  <c r="S86" i="1"/>
  <c r="T80" i="1"/>
  <c r="T81" i="1"/>
  <c r="T82" i="1"/>
  <c r="T83" i="1"/>
  <c r="T84" i="1"/>
  <c r="T85" i="1"/>
  <c r="T86" i="1"/>
  <c r="U80" i="1"/>
  <c r="U81" i="1"/>
  <c r="U82" i="1"/>
  <c r="U83" i="1"/>
  <c r="U84" i="1"/>
  <c r="U85" i="1"/>
  <c r="U86" i="1"/>
  <c r="V80" i="1"/>
  <c r="V81" i="1"/>
  <c r="V82" i="1"/>
  <c r="V83" i="1"/>
  <c r="V84" i="1"/>
  <c r="V85" i="1"/>
  <c r="V86" i="1"/>
  <c r="W80" i="1"/>
  <c r="W81" i="1"/>
  <c r="W82" i="1"/>
  <c r="W83" i="1"/>
  <c r="W84" i="1"/>
  <c r="W85" i="1"/>
  <c r="W86" i="1"/>
  <c r="X80" i="1"/>
  <c r="X81" i="1"/>
  <c r="X82" i="1"/>
  <c r="X83" i="1"/>
  <c r="X84" i="1"/>
  <c r="X85" i="1"/>
  <c r="X86" i="1"/>
  <c r="Y80" i="1"/>
  <c r="Y81" i="1"/>
  <c r="Y82" i="1"/>
  <c r="Y83" i="1"/>
  <c r="Y84" i="1"/>
  <c r="Y85" i="1"/>
  <c r="Y86" i="1"/>
  <c r="Z80" i="1"/>
  <c r="Z81" i="1"/>
  <c r="Z82" i="1"/>
  <c r="Z83" i="1"/>
  <c r="Z84" i="1"/>
  <c r="Z85" i="1"/>
  <c r="Z86" i="1"/>
  <c r="AA80" i="1"/>
  <c r="AA81" i="1"/>
  <c r="AA82" i="1"/>
  <c r="AA83" i="1"/>
  <c r="AA84" i="1"/>
  <c r="AA85" i="1"/>
  <c r="AA86" i="1"/>
  <c r="AB80" i="1"/>
  <c r="AB81" i="1"/>
  <c r="AB82" i="1"/>
  <c r="AB83" i="1"/>
  <c r="AB84" i="1"/>
  <c r="AB85" i="1"/>
  <c r="AB86" i="1"/>
  <c r="AC79" i="1"/>
  <c r="AC80" i="1"/>
  <c r="AC81" i="1"/>
  <c r="AC82" i="1"/>
  <c r="AC83" i="1"/>
  <c r="AC84" i="1"/>
  <c r="AC85" i="1"/>
  <c r="AC86" i="1"/>
  <c r="AD79" i="1"/>
  <c r="AD80" i="1"/>
  <c r="AD81" i="1"/>
  <c r="AD82" i="1"/>
  <c r="AD83" i="1"/>
  <c r="AD84" i="1"/>
  <c r="AD85" i="1"/>
  <c r="AD86" i="1"/>
  <c r="A53" i="1"/>
  <c r="D42" i="6" l="1"/>
  <c r="E38" i="9"/>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 i="4"/>
  <c r="A4" i="4"/>
  <c r="A2" i="4"/>
  <c r="A58" i="1" l="1"/>
  <c r="B13" i="9" l="1"/>
  <c r="A55" i="1" l="1"/>
  <c r="A54"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6" i="1"/>
  <c r="A57" i="1"/>
  <c r="A59" i="1"/>
  <c r="A60" i="1"/>
  <c r="A61" i="1"/>
  <c r="A62" i="1"/>
  <c r="A63" i="1"/>
  <c r="A64" i="1"/>
  <c r="A65" i="1"/>
  <c r="A66" i="1"/>
  <c r="A67" i="1"/>
  <c r="A68" i="1"/>
  <c r="A69" i="1"/>
  <c r="A70" i="1"/>
  <c r="A71" i="1"/>
  <c r="A72" i="1"/>
  <c r="A73" i="1"/>
  <c r="A74" i="1"/>
  <c r="A75" i="1"/>
  <c r="A76" i="1"/>
  <c r="A77" i="1"/>
  <c r="A78" i="1"/>
  <c r="A79" i="1"/>
  <c r="A2" i="1"/>
  <c r="A1" i="11" l="1"/>
  <c r="A3" i="11"/>
  <c r="A18" i="3" l="1"/>
  <c r="C15" i="5" l="1"/>
  <c r="B15" i="9" l="1"/>
  <c r="E71" i="1" l="1"/>
  <c r="E72" i="1"/>
  <c r="E73" i="1"/>
  <c r="E74" i="1"/>
  <c r="E75" i="1"/>
  <c r="E76" i="1"/>
  <c r="E77" i="1"/>
  <c r="E78" i="1"/>
  <c r="C16" i="9" l="1"/>
  <c r="E69" i="1" l="1"/>
  <c r="E70" i="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H17" i="6" l="1"/>
  <c r="H21" i="9" l="1"/>
  <c r="C4" i="5" l="1"/>
  <c r="C18" i="5"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C2" i="3" s="1"/>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Q9" i="1" s="1"/>
  <c r="J8" i="1"/>
  <c r="E11" i="1"/>
  <c r="E12" i="1" s="1"/>
  <c r="E13" i="1" s="1"/>
  <c r="E14" i="1" s="1"/>
  <c r="E15" i="1" s="1"/>
  <c r="M8" i="1"/>
  <c r="N10" i="1"/>
  <c r="I8" i="1"/>
  <c r="G9" i="1"/>
  <c r="H9" i="1"/>
  <c r="F8" i="1"/>
  <c r="K9" i="1"/>
  <c r="L10" i="1"/>
  <c r="O11" i="1" l="1"/>
  <c r="O12" i="1" s="1"/>
  <c r="O13" i="1" s="1"/>
  <c r="O14" i="1" s="1"/>
  <c r="O15" i="1" s="1"/>
  <c r="P10"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57" i="1"/>
  <c r="H23" i="1"/>
  <c r="K18" i="1"/>
  <c r="K19" i="1" s="1"/>
  <c r="K20" i="1" s="1"/>
  <c r="K21" i="1" s="1"/>
  <c r="K22" i="1" s="1"/>
  <c r="K23" i="1" s="1"/>
  <c r="K24" i="1" s="1"/>
  <c r="I25" i="1"/>
  <c r="I26" i="1" s="1"/>
  <c r="AD4" i="1"/>
  <c r="AD6" i="1"/>
  <c r="AD5" i="1"/>
  <c r="AD7" i="1"/>
  <c r="AD15" i="1"/>
  <c r="AD13" i="1"/>
  <c r="M21" i="1"/>
  <c r="L18" i="1"/>
  <c r="G16" i="1"/>
  <c r="G17" i="1" s="1"/>
  <c r="F20" i="1"/>
  <c r="AD59" i="1" l="1"/>
  <c r="O56" i="1"/>
  <c r="O57" i="1" s="1"/>
  <c r="P17" i="1"/>
  <c r="E66" i="1"/>
  <c r="Q62" i="1"/>
  <c r="J22" i="1"/>
  <c r="J23" i="1" s="1"/>
  <c r="J24" i="1" s="1"/>
  <c r="N20" i="1"/>
  <c r="N21" i="1" s="1"/>
  <c r="N22" i="1" s="1"/>
  <c r="K25" i="1"/>
  <c r="K26" i="1" s="1"/>
  <c r="K27" i="1" s="1"/>
  <c r="H24" i="1"/>
  <c r="AD18" i="1"/>
  <c r="G18" i="1"/>
  <c r="G19" i="1" s="1"/>
  <c r="G20" i="1" s="1"/>
  <c r="I27" i="1"/>
  <c r="M22" i="1"/>
  <c r="L19" i="1"/>
  <c r="L20" i="1" s="1"/>
  <c r="F21" i="1"/>
  <c r="AD60" i="1" l="1"/>
  <c r="O58" i="1"/>
  <c r="O59" i="1" s="1"/>
  <c r="P18" i="1"/>
  <c r="E67" i="1"/>
  <c r="Q63" i="1"/>
  <c r="Q64" i="1" s="1"/>
  <c r="Q65" i="1" s="1"/>
  <c r="Q66" i="1" s="1"/>
  <c r="K28" i="1"/>
  <c r="K29" i="1" s="1"/>
  <c r="AD26" i="1"/>
  <c r="G21" i="1"/>
  <c r="G22" i="1" s="1"/>
  <c r="G23" i="1" s="1"/>
  <c r="H25" i="1"/>
  <c r="I28" i="1"/>
  <c r="M23" i="1"/>
  <c r="J25" i="1"/>
  <c r="N23" i="1"/>
  <c r="L21" i="1"/>
  <c r="F22" i="1"/>
  <c r="AD62" i="1" l="1"/>
  <c r="AD61" i="1"/>
  <c r="O60" i="1"/>
  <c r="O61" i="1" s="1"/>
  <c r="O62" i="1" s="1"/>
  <c r="P19" i="1"/>
  <c r="E68" i="1"/>
  <c r="Q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7" i="1" l="1"/>
  <c r="R78" i="1"/>
  <c r="R75" i="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AD66" i="1" l="1"/>
  <c r="O64" i="1"/>
  <c r="P21" i="1"/>
  <c r="Q69" i="1"/>
  <c r="AD67" i="1" s="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Q70" i="1"/>
  <c r="J50" i="1"/>
  <c r="J51" i="1" s="1"/>
  <c r="H47" i="1"/>
  <c r="H48" i="1" s="1"/>
  <c r="I47" i="1"/>
  <c r="I48" i="1" s="1"/>
  <c r="I49" i="1" s="1"/>
  <c r="I50" i="1" s="1"/>
  <c r="K43" i="1"/>
  <c r="N27" i="1"/>
  <c r="M28" i="1"/>
  <c r="M29" i="1" s="1"/>
  <c r="L30" i="1"/>
  <c r="G29" i="1"/>
  <c r="F28" i="1"/>
  <c r="Q71" i="1" l="1"/>
  <c r="Q72" i="1" s="1"/>
  <c r="AD68" i="1"/>
  <c r="AD69" i="1"/>
  <c r="O66" i="1"/>
  <c r="O67" i="1" s="1"/>
  <c r="O68" i="1" s="1"/>
  <c r="P23" i="1"/>
  <c r="AD58" i="1"/>
  <c r="Q73" i="1"/>
  <c r="AD71"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Q74" i="1"/>
  <c r="AD72" i="1" s="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Q75" i="1" l="1"/>
  <c r="AD73" i="1" s="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N31" i="1"/>
  <c r="O74" i="1" l="1"/>
  <c r="Q76" i="1"/>
  <c r="AD74" i="1"/>
  <c r="P26" i="1"/>
  <c r="H65" i="1"/>
  <c r="J67"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AD36" i="1"/>
  <c r="G48" i="1"/>
  <c r="K48" i="1"/>
  <c r="L36" i="1"/>
  <c r="M35" i="1"/>
  <c r="N34" i="1"/>
  <c r="N35" i="1" s="1"/>
  <c r="N36" i="1" s="1"/>
  <c r="N37" i="1" s="1"/>
  <c r="N38" i="1" s="1"/>
  <c r="N39" i="1" s="1"/>
  <c r="N40" i="1" s="1"/>
  <c r="N41" i="1" s="1"/>
  <c r="N42" i="1" s="1"/>
  <c r="Q78" i="1" l="1"/>
  <c r="AD78" i="1" s="1"/>
  <c r="AD75" i="1"/>
  <c r="O77" i="1"/>
  <c r="AD76" i="1"/>
  <c r="P28" i="1"/>
  <c r="I67" i="1"/>
  <c r="I68" i="1" s="1"/>
  <c r="I69" i="1" s="1"/>
  <c r="H67" i="1"/>
  <c r="J69" i="1"/>
  <c r="AD37" i="1"/>
  <c r="F53" i="1"/>
  <c r="F54" i="1" s="1"/>
  <c r="F55" i="1" s="1"/>
  <c r="F56" i="1" s="1"/>
  <c r="F57" i="1" s="1"/>
  <c r="F58" i="1" s="1"/>
  <c r="F59" i="1" s="1"/>
  <c r="F60" i="1" s="1"/>
  <c r="F61" i="1" s="1"/>
  <c r="F62" i="1" s="1"/>
  <c r="K49" i="1"/>
  <c r="K50" i="1" s="1"/>
  <c r="G49" i="1"/>
  <c r="N43" i="1"/>
  <c r="L37" i="1"/>
  <c r="M36" i="1"/>
  <c r="O78" i="1" l="1"/>
  <c r="AD77" i="1"/>
  <c r="P29" i="1"/>
  <c r="J70" i="1"/>
  <c r="I70" i="1"/>
  <c r="H68" i="1"/>
  <c r="H69" i="1" s="1"/>
  <c r="H70" i="1" s="1"/>
  <c r="H71" i="1" s="1"/>
  <c r="H72" i="1" s="1"/>
  <c r="F63" i="1"/>
  <c r="F64" i="1" s="1"/>
  <c r="F65" i="1" s="1"/>
  <c r="F66" i="1" s="1"/>
  <c r="F67" i="1" s="1"/>
  <c r="F68" i="1" s="1"/>
  <c r="F69" i="1" s="1"/>
  <c r="K51" i="1"/>
  <c r="G50" i="1"/>
  <c r="AD38" i="1"/>
  <c r="N44" i="1"/>
  <c r="L38" i="1"/>
  <c r="L39" i="1" s="1"/>
  <c r="M37" i="1"/>
  <c r="AB67" i="1" l="1"/>
  <c r="AB79" i="1"/>
  <c r="AB43" i="1"/>
  <c r="AB73" i="1"/>
  <c r="AB31" i="1"/>
  <c r="AB59" i="1"/>
  <c r="AB42" i="1"/>
  <c r="AB60"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V2" i="1"/>
  <c r="P30" i="1"/>
  <c r="H73" i="1"/>
  <c r="J71" i="1"/>
  <c r="I71" i="1"/>
  <c r="F70" i="1"/>
  <c r="F71" i="1" s="1"/>
  <c r="F72" i="1" s="1"/>
  <c r="F73" i="1" s="1"/>
  <c r="U2" i="1"/>
  <c r="K52" i="1"/>
  <c r="K53" i="1" s="1"/>
  <c r="G51" i="1"/>
  <c r="AD39" i="1"/>
  <c r="AB46" i="1"/>
  <c r="N45" i="1"/>
  <c r="L40" i="1"/>
  <c r="M38" i="1"/>
  <c r="M39" i="1" s="1"/>
  <c r="M40" i="1" s="1"/>
  <c r="H74" i="1" l="1"/>
  <c r="F74" i="1"/>
  <c r="F75" i="1" s="1"/>
  <c r="F76" i="1" s="1"/>
  <c r="F77" i="1" s="1"/>
  <c r="F78" i="1" s="1"/>
  <c r="F79" i="1" s="1"/>
  <c r="S79"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S77" i="1" l="1"/>
  <c r="S78" i="1"/>
  <c r="S2" i="1"/>
  <c r="S66"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H76" i="1" l="1"/>
  <c r="H77" i="1" s="1"/>
  <c r="J74" i="1"/>
  <c r="I74" i="1"/>
  <c r="P33" i="1"/>
  <c r="K68" i="1"/>
  <c r="G54" i="1"/>
  <c r="R2" i="1"/>
  <c r="N51" i="1"/>
  <c r="N52" i="1" s="1"/>
  <c r="N53" i="1" s="1"/>
  <c r="N54" i="1" s="1"/>
  <c r="N55" i="1" s="1"/>
  <c r="AB45" i="1"/>
  <c r="M43" i="1"/>
  <c r="L43" i="1"/>
  <c r="H78" i="1" l="1"/>
  <c r="J75" i="1"/>
  <c r="I75" i="1"/>
  <c r="P34" i="1"/>
  <c r="K69" i="1"/>
  <c r="N56" i="1"/>
  <c r="N57" i="1" s="1"/>
  <c r="N58" i="1" s="1"/>
  <c r="G55" i="1"/>
  <c r="AB49" i="1"/>
  <c r="AD35" i="1"/>
  <c r="L44" i="1"/>
  <c r="M44" i="1"/>
  <c r="M45" i="1" s="1"/>
  <c r="M46" i="1" s="1"/>
  <c r="M47" i="1" s="1"/>
  <c r="H79" i="1" l="1"/>
  <c r="U61" i="1" s="1"/>
  <c r="U44" i="1"/>
  <c r="U47" i="1"/>
  <c r="U57" i="1"/>
  <c r="U39" i="1"/>
  <c r="U45" i="1"/>
  <c r="U70" i="1"/>
  <c r="U51" i="1"/>
  <c r="U46" i="1"/>
  <c r="U66" i="1"/>
  <c r="U75" i="1"/>
  <c r="U60" i="1"/>
  <c r="U42" i="1"/>
  <c r="U73" i="1"/>
  <c r="U40" i="1"/>
  <c r="U55" i="1"/>
  <c r="U72" i="1"/>
  <c r="U58" i="1"/>
  <c r="U54" i="1"/>
  <c r="U69" i="1"/>
  <c r="U59" i="1"/>
  <c r="U56" i="1"/>
  <c r="U64" i="1"/>
  <c r="U53" i="1"/>
  <c r="U74" i="1"/>
  <c r="U68" i="1"/>
  <c r="I76" i="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U52" i="1" l="1"/>
  <c r="U62" i="1"/>
  <c r="U6" i="1"/>
  <c r="U4" i="1"/>
  <c r="U3" i="1"/>
  <c r="U5" i="1"/>
  <c r="U41" i="1"/>
  <c r="U63" i="1"/>
  <c r="U49" i="1"/>
  <c r="U71" i="1"/>
  <c r="U67" i="1"/>
  <c r="U79" i="1"/>
  <c r="U48" i="1"/>
  <c r="U76" i="1"/>
  <c r="U37" i="1"/>
  <c r="U32" i="1"/>
  <c r="U12" i="1"/>
  <c r="U30" i="1"/>
  <c r="U24" i="1"/>
  <c r="U20" i="1"/>
  <c r="U7" i="1"/>
  <c r="U13" i="1"/>
  <c r="U50" i="1"/>
  <c r="U77" i="1"/>
  <c r="U34" i="1"/>
  <c r="U27" i="1"/>
  <c r="U18" i="1"/>
  <c r="U28" i="1"/>
  <c r="U15" i="1"/>
  <c r="U8" i="1"/>
  <c r="U38" i="1"/>
  <c r="U65" i="1"/>
  <c r="U36" i="1"/>
  <c r="U25" i="1"/>
  <c r="U9" i="1"/>
  <c r="U29" i="1"/>
  <c r="U22" i="1"/>
  <c r="U35" i="1"/>
  <c r="U11" i="1"/>
  <c r="U78" i="1"/>
  <c r="U31" i="1"/>
  <c r="U23" i="1"/>
  <c r="U21" i="1"/>
  <c r="U16" i="1"/>
  <c r="U19" i="1"/>
  <c r="U14" i="1"/>
  <c r="U26" i="1"/>
  <c r="U10" i="1"/>
  <c r="U33" i="1"/>
  <c r="U17" i="1"/>
  <c r="U43" i="1"/>
  <c r="I77" i="1"/>
  <c r="J77" i="1"/>
  <c r="J78" i="1" s="1"/>
  <c r="J79" i="1" s="1"/>
  <c r="P36" i="1"/>
  <c r="K72" i="1"/>
  <c r="N60" i="1"/>
  <c r="G57" i="1"/>
  <c r="G58" i="1" s="1"/>
  <c r="G59" i="1" s="1"/>
  <c r="G60" i="1" s="1"/>
  <c r="AD20" i="1"/>
  <c r="AB3" i="1"/>
  <c r="R3" i="1"/>
  <c r="AD14" i="1"/>
  <c r="AD54" i="1"/>
  <c r="AD53" i="1"/>
  <c r="M49" i="1"/>
  <c r="L48" i="1"/>
  <c r="W79" i="1" l="1"/>
  <c r="W2" i="1"/>
  <c r="I78" i="1"/>
  <c r="W54" i="1"/>
  <c r="W78" i="1"/>
  <c r="W77" i="1"/>
  <c r="W51" i="1"/>
  <c r="W74" i="1"/>
  <c r="W64" i="1"/>
  <c r="W58" i="1"/>
  <c r="W57" i="1"/>
  <c r="W56" i="1"/>
  <c r="W65" i="1"/>
  <c r="W45" i="1"/>
  <c r="W60" i="1"/>
  <c r="W39" i="1"/>
  <c r="W62" i="1"/>
  <c r="W46" i="1"/>
  <c r="W67" i="1"/>
  <c r="W59" i="1"/>
  <c r="W52" i="1"/>
  <c r="W3" i="1"/>
  <c r="W76" i="1"/>
  <c r="W70" i="1"/>
  <c r="W72" i="1"/>
  <c r="W73" i="1"/>
  <c r="W68" i="1"/>
  <c r="W55" i="1"/>
  <c r="W44" i="1"/>
  <c r="W61" i="1"/>
  <c r="W40" i="1"/>
  <c r="W53" i="1"/>
  <c r="W47" i="1"/>
  <c r="W41" i="1"/>
  <c r="W43" i="1"/>
  <c r="W63" i="1"/>
  <c r="W49" i="1"/>
  <c r="W6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I79" i="1" l="1"/>
  <c r="V77" i="1" s="1"/>
  <c r="N67" i="1"/>
  <c r="N68" i="1" s="1"/>
  <c r="K74" i="1"/>
  <c r="P38" i="1"/>
  <c r="G62" i="1"/>
  <c r="G63" i="1" s="1"/>
  <c r="M51" i="1"/>
  <c r="M52" i="1" s="1"/>
  <c r="M53" i="1" s="1"/>
  <c r="L50" i="1"/>
  <c r="V8" i="1" l="1"/>
  <c r="V37" i="1"/>
  <c r="V10" i="1"/>
  <c r="V36" i="1"/>
  <c r="V35" i="1"/>
  <c r="V30" i="1"/>
  <c r="V23" i="1"/>
  <c r="V7" i="1"/>
  <c r="V38" i="1"/>
  <c r="V29" i="1"/>
  <c r="V33" i="1"/>
  <c r="V27" i="1"/>
  <c r="V9" i="1"/>
  <c r="V12" i="1"/>
  <c r="V25" i="1"/>
  <c r="V24" i="1"/>
  <c r="V17" i="1"/>
  <c r="V79" i="1"/>
  <c r="V58" i="1"/>
  <c r="V70" i="1"/>
  <c r="V73" i="1"/>
  <c r="V49" i="1"/>
  <c r="V41" i="1"/>
  <c r="V54" i="1"/>
  <c r="V56" i="1"/>
  <c r="V66" i="1"/>
  <c r="V62" i="1"/>
  <c r="V55" i="1"/>
  <c r="V65" i="1"/>
  <c r="V68" i="1"/>
  <c r="V45" i="1"/>
  <c r="V51" i="1"/>
  <c r="V72" i="1"/>
  <c r="V40" i="1"/>
  <c r="V43" i="1"/>
  <c r="V57" i="1"/>
  <c r="V63" i="1"/>
  <c r="V53" i="1"/>
  <c r="V69" i="1"/>
  <c r="V76" i="1"/>
  <c r="V60" i="1"/>
  <c r="V78" i="1"/>
  <c r="V74" i="1"/>
  <c r="V42" i="1"/>
  <c r="V52" i="1"/>
  <c r="V59" i="1"/>
  <c r="V67" i="1"/>
  <c r="V48" i="1"/>
  <c r="V61" i="1"/>
  <c r="V44" i="1"/>
  <c r="V71" i="1"/>
  <c r="V47" i="1"/>
  <c r="V39" i="1"/>
  <c r="V75" i="1"/>
  <c r="V46" i="1"/>
  <c r="V64" i="1"/>
  <c r="V11" i="1"/>
  <c r="V26" i="1"/>
  <c r="V15" i="1"/>
  <c r="V16" i="1"/>
  <c r="V20" i="1"/>
  <c r="V28" i="1"/>
  <c r="V4" i="1"/>
  <c r="V6" i="1"/>
  <c r="V21" i="1"/>
  <c r="V5" i="1"/>
  <c r="V19" i="1"/>
  <c r="V34" i="1"/>
  <c r="V22" i="1"/>
  <c r="V14" i="1"/>
  <c r="V31" i="1"/>
  <c r="V18" i="1"/>
  <c r="V3" i="1"/>
  <c r="V32" i="1"/>
  <c r="V13" i="1"/>
  <c r="V50" i="1"/>
  <c r="K75" i="1"/>
  <c r="P39" i="1"/>
  <c r="N69" i="1"/>
  <c r="G64" i="1"/>
  <c r="M54" i="1"/>
  <c r="M55" i="1" s="1"/>
  <c r="L51" i="1"/>
  <c r="L52" i="1" s="1"/>
  <c r="L53" i="1" s="1"/>
  <c r="K76" i="1" l="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K79" i="1" l="1"/>
  <c r="X79" i="1" s="1"/>
  <c r="P42" i="1"/>
  <c r="X56" i="1"/>
  <c r="X78" i="1"/>
  <c r="G73" i="1"/>
  <c r="T2" i="1"/>
  <c r="X26" i="1"/>
  <c r="X6" i="1"/>
  <c r="X42" i="1"/>
  <c r="X48" i="1"/>
  <c r="X45" i="1"/>
  <c r="X29" i="1"/>
  <c r="X67" i="1"/>
  <c r="X59" i="1"/>
  <c r="X34" i="1"/>
  <c r="X72" i="1"/>
  <c r="X10" i="1"/>
  <c r="X74" i="1"/>
  <c r="X53" i="1"/>
  <c r="X65" i="1"/>
  <c r="X73" i="1"/>
  <c r="X71" i="1"/>
  <c r="X50" i="1"/>
  <c r="X4" i="1"/>
  <c r="X41" i="1"/>
  <c r="X77" i="1"/>
  <c r="X16" i="1"/>
  <c r="X23" i="1"/>
  <c r="X37" i="1"/>
  <c r="X54" i="1"/>
  <c r="X44" i="1"/>
  <c r="X66" i="1"/>
  <c r="X24" i="1"/>
  <c r="X13" i="1"/>
  <c r="X39" i="1"/>
  <c r="X9" i="1"/>
  <c r="X43" i="1"/>
  <c r="X2" i="1"/>
  <c r="X11" i="1"/>
  <c r="X47" i="1"/>
  <c r="X38" i="1"/>
  <c r="X32" i="1"/>
  <c r="X3" i="1"/>
  <c r="X76" i="1"/>
  <c r="X20" i="1"/>
  <c r="X40" i="1"/>
  <c r="X12" i="1"/>
  <c r="X8" i="1"/>
  <c r="X17" i="1"/>
  <c r="X14" i="1"/>
  <c r="X15" i="1"/>
  <c r="X68" i="1"/>
  <c r="X61" i="1"/>
  <c r="X21" i="1"/>
  <c r="X30" i="1"/>
  <c r="X28" i="1"/>
  <c r="X62" i="1"/>
  <c r="X64" i="1"/>
  <c r="X63" i="1"/>
  <c r="X18" i="1"/>
  <c r="X35" i="1"/>
  <c r="X57" i="1"/>
  <c r="X46" i="1"/>
  <c r="X51" i="1"/>
  <c r="X22" i="1"/>
  <c r="X70" i="1"/>
  <c r="X36" i="1"/>
  <c r="X49" i="1"/>
  <c r="X60" i="1"/>
  <c r="X5" i="1"/>
  <c r="X25" i="1"/>
  <c r="X75" i="1"/>
  <c r="X69" i="1"/>
  <c r="X19" i="1"/>
  <c r="X33" i="1"/>
  <c r="X7" i="1"/>
  <c r="X27" i="1"/>
  <c r="X55" i="1"/>
  <c r="X58" i="1"/>
  <c r="X52" i="1"/>
  <c r="X31" i="1"/>
  <c r="G74" i="1"/>
  <c r="G75" i="1" s="1"/>
  <c r="N72" i="1"/>
  <c r="N73" i="1" s="1"/>
  <c r="L67" i="1"/>
  <c r="M61" i="1"/>
  <c r="P43" i="1" l="1"/>
  <c r="G76" i="1"/>
  <c r="G77" i="1" s="1"/>
  <c r="N74" i="1"/>
  <c r="L68" i="1"/>
  <c r="M62" i="1"/>
  <c r="Y2" i="1"/>
  <c r="G78" i="1" l="1"/>
  <c r="P44" i="1"/>
  <c r="N75" i="1"/>
  <c r="L69" i="1"/>
  <c r="M63" i="1"/>
  <c r="M64" i="1" s="1"/>
  <c r="M65" i="1" s="1"/>
  <c r="M66" i="1" s="1"/>
  <c r="G79" i="1" l="1"/>
  <c r="T37" i="1"/>
  <c r="T53" i="1"/>
  <c r="T52" i="1"/>
  <c r="T29" i="1"/>
  <c r="T12" i="1"/>
  <c r="T10" i="1"/>
  <c r="T35" i="1"/>
  <c r="T59" i="1"/>
  <c r="T22" i="1"/>
  <c r="T55" i="1"/>
  <c r="T16" i="1"/>
  <c r="T32" i="1"/>
  <c r="T42" i="1"/>
  <c r="T62" i="1"/>
  <c r="T14" i="1"/>
  <c r="T30" i="1"/>
  <c r="T45" i="1"/>
  <c r="T72" i="1"/>
  <c r="T28" i="1"/>
  <c r="T61" i="1"/>
  <c r="T69" i="1"/>
  <c r="T41" i="1"/>
  <c r="T54" i="1"/>
  <c r="T38" i="1"/>
  <c r="T8" i="1"/>
  <c r="T7" i="1"/>
  <c r="T23" i="1"/>
  <c r="T27" i="1"/>
  <c r="T56" i="1"/>
  <c r="T63" i="1"/>
  <c r="T18" i="1"/>
  <c r="T11" i="1"/>
  <c r="T70" i="1"/>
  <c r="T31" i="1"/>
  <c r="T25" i="1"/>
  <c r="T21" i="1"/>
  <c r="T26" i="1"/>
  <c r="T19" i="1"/>
  <c r="T36" i="1"/>
  <c r="P45" i="1"/>
  <c r="N76" i="1"/>
  <c r="L70" i="1"/>
  <c r="M67" i="1"/>
  <c r="T13" i="1" l="1"/>
  <c r="T3" i="1"/>
  <c r="T79" i="1"/>
  <c r="T39" i="1"/>
  <c r="T24" i="1"/>
  <c r="T46" i="1"/>
  <c r="T9" i="1"/>
  <c r="T47" i="1"/>
  <c r="T66" i="1"/>
  <c r="T40" i="1"/>
  <c r="T75" i="1"/>
  <c r="T5" i="1"/>
  <c r="T51" i="1"/>
  <c r="T17" i="1"/>
  <c r="T58" i="1"/>
  <c r="T43" i="1"/>
  <c r="T67" i="1"/>
  <c r="T65" i="1"/>
  <c r="T49" i="1"/>
  <c r="T50" i="1"/>
  <c r="T71" i="1"/>
  <c r="T34" i="1"/>
  <c r="T78" i="1"/>
  <c r="T76" i="1"/>
  <c r="T20" i="1"/>
  <c r="T44" i="1"/>
  <c r="T4" i="1"/>
  <c r="T60" i="1"/>
  <c r="T57" i="1"/>
  <c r="T48" i="1"/>
  <c r="T68" i="1"/>
  <c r="T64" i="1"/>
  <c r="T73" i="1"/>
  <c r="T74" i="1"/>
  <c r="T77" i="1"/>
  <c r="T15" i="1"/>
  <c r="T33" i="1"/>
  <c r="T6" i="1"/>
  <c r="P46" i="1"/>
  <c r="N77" i="1"/>
  <c r="L71" i="1"/>
  <c r="L72" i="1" s="1"/>
  <c r="L73" i="1" s="1"/>
  <c r="M68" i="1"/>
  <c r="P47" i="1" l="1"/>
  <c r="N78" i="1"/>
  <c r="L74" i="1"/>
  <c r="L75" i="1" s="1"/>
  <c r="M69" i="1"/>
  <c r="AA59" i="1" l="1"/>
  <c r="AA79" i="1"/>
  <c r="P48" i="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P49" i="1" l="1"/>
  <c r="L77" i="1"/>
  <c r="M71" i="1"/>
  <c r="P50" i="1" l="1"/>
  <c r="L78" i="1"/>
  <c r="M72" i="1"/>
  <c r="L79" i="1" l="1"/>
  <c r="Y59" i="1"/>
  <c r="Y43" i="1"/>
  <c r="Y78" i="1"/>
  <c r="Y79" i="1"/>
  <c r="Y12" i="1"/>
  <c r="Y39" i="1"/>
  <c r="P51" i="1"/>
  <c r="Y64" i="1"/>
  <c r="Y38" i="1"/>
  <c r="Y3" i="1"/>
  <c r="Y63" i="1"/>
  <c r="Y77" i="1"/>
  <c r="M73" i="1"/>
  <c r="Y40" i="1" l="1"/>
  <c r="Y49" i="1"/>
  <c r="Y62" i="1"/>
  <c r="Y46" i="1"/>
  <c r="Y17" i="1"/>
  <c r="Y9" i="1"/>
  <c r="Y51" i="1"/>
  <c r="Y48" i="1"/>
  <c r="Y10" i="1"/>
  <c r="Y8" i="1"/>
  <c r="Y34" i="1"/>
  <c r="Y25" i="1"/>
  <c r="Y41" i="1"/>
  <c r="Y45" i="1"/>
  <c r="Y66" i="1"/>
  <c r="Y74" i="1"/>
  <c r="Y76" i="1"/>
  <c r="Y58" i="1"/>
  <c r="Y50" i="1"/>
  <c r="Y37" i="1"/>
  <c r="Y57" i="1"/>
  <c r="Y73" i="1"/>
  <c r="Y26" i="1"/>
  <c r="Y22" i="1"/>
  <c r="Y18" i="1"/>
  <c r="Y6" i="1"/>
  <c r="Y42" i="1"/>
  <c r="Y13" i="1"/>
  <c r="Y69" i="1"/>
  <c r="Y19" i="1"/>
  <c r="Y61" i="1"/>
  <c r="Y21" i="1"/>
  <c r="Y72" i="1"/>
  <c r="Y7" i="1"/>
  <c r="Y32" i="1"/>
  <c r="Y24" i="1"/>
  <c r="Y33" i="1"/>
  <c r="Y75" i="1"/>
  <c r="Y53" i="1"/>
  <c r="Y65" i="1"/>
  <c r="Y16" i="1"/>
  <c r="Y28" i="1"/>
  <c r="Y23" i="1"/>
  <c r="Y70" i="1"/>
  <c r="Y14" i="1"/>
  <c r="Y52" i="1"/>
  <c r="Y68" i="1"/>
  <c r="Y55" i="1"/>
  <c r="Y47" i="1"/>
  <c r="Y15" i="1"/>
  <c r="Y71" i="1"/>
  <c r="Y20" i="1"/>
  <c r="Y36" i="1"/>
  <c r="Y60" i="1"/>
  <c r="Y35" i="1"/>
  <c r="Y67" i="1"/>
  <c r="Y11" i="1"/>
  <c r="Y56" i="1"/>
  <c r="Y4" i="1"/>
  <c r="Y30" i="1"/>
  <c r="Y54" i="1"/>
  <c r="Y5" i="1"/>
  <c r="Y31" i="1"/>
  <c r="Y44" i="1"/>
  <c r="Y29" i="1"/>
  <c r="Y27" i="1"/>
  <c r="P52" i="1"/>
  <c r="M74" i="1"/>
  <c r="M75" i="1" s="1"/>
  <c r="P53" i="1" l="1"/>
  <c r="M76" i="1"/>
  <c r="P54" i="1" l="1"/>
  <c r="M77" i="1"/>
  <c r="M78" i="1" s="1"/>
  <c r="M79" i="1" s="1"/>
  <c r="Z78" i="1" l="1"/>
  <c r="Z79" i="1"/>
  <c r="P55" i="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AC36" i="1" l="1"/>
  <c r="P69" i="1"/>
  <c r="P70" i="1" s="1"/>
  <c r="P71" i="1" s="1"/>
  <c r="P72" i="1" s="1"/>
  <c r="P73" i="1" s="1"/>
  <c r="P74" i="1" s="1"/>
  <c r="P75" i="1" s="1"/>
  <c r="P76" i="1" s="1"/>
  <c r="P77" i="1" s="1"/>
  <c r="P78" i="1" s="1"/>
  <c r="AC31" i="1"/>
  <c r="AC32" i="1"/>
  <c r="AC4" i="1"/>
  <c r="AC8" i="1"/>
  <c r="AC3" i="1"/>
  <c r="AC18" i="1"/>
  <c r="AC17" i="1"/>
  <c r="AC27" i="1"/>
  <c r="AC45" i="1"/>
  <c r="AC54" i="1"/>
  <c r="AC63" i="1"/>
  <c r="AC48" i="1"/>
  <c r="AC68" i="1"/>
  <c r="AC53" i="1"/>
  <c r="AC57" i="1"/>
  <c r="AC64" i="1"/>
  <c r="AC49" i="1"/>
  <c r="AC72" i="1"/>
  <c r="AC52" i="1"/>
  <c r="AC59" i="1"/>
  <c r="AC46" i="1"/>
  <c r="AC44" i="1"/>
  <c r="AC6" i="1"/>
  <c r="AC37" i="1"/>
  <c r="AC66" i="1"/>
  <c r="AC71" i="1"/>
  <c r="AC9" i="1"/>
  <c r="AC73" i="1"/>
  <c r="AC50" i="1"/>
  <c r="AC2" i="1"/>
  <c r="AC34" i="1"/>
  <c r="AC55" i="1"/>
  <c r="AC20" i="1"/>
  <c r="AC29" i="1"/>
  <c r="AC24" i="1"/>
  <c r="AC39" i="1"/>
  <c r="AC28" i="1"/>
  <c r="AC56" i="1"/>
  <c r="AC15" i="1"/>
  <c r="AC25" i="1"/>
  <c r="AC61" i="1"/>
  <c r="AC58" i="1"/>
  <c r="AC5" i="1"/>
  <c r="AC69" i="1"/>
  <c r="AC42" i="1"/>
  <c r="AC35" i="1"/>
  <c r="AC7" i="1"/>
  <c r="AC13" i="1"/>
  <c r="AC16" i="1"/>
  <c r="AC51" i="1"/>
  <c r="AC10" i="1"/>
  <c r="AC38" i="1"/>
  <c r="AC40" i="1"/>
  <c r="AC65" i="1"/>
  <c r="AC30" i="1"/>
  <c r="AC77" i="1"/>
  <c r="AC41" i="1"/>
  <c r="AC12" i="1"/>
  <c r="AC70" i="1"/>
  <c r="AC11" i="1"/>
  <c r="AC14" i="1"/>
  <c r="AC26" i="1"/>
  <c r="AC47" i="1"/>
  <c r="AC60" i="1"/>
  <c r="AC19" i="1"/>
  <c r="AC43" i="1"/>
  <c r="AC67" i="1"/>
  <c r="AC21" i="1"/>
  <c r="AC22" i="1"/>
  <c r="AC33" i="1"/>
  <c r="AC62" i="1"/>
  <c r="AC23" i="1"/>
  <c r="AC75" i="1"/>
  <c r="AC76" i="1" l="1"/>
  <c r="AC78" i="1"/>
  <c r="AC74"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<sst xmlns="http://schemas.openxmlformats.org/spreadsheetml/2006/main" count="910" uniqueCount="547">
  <si>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</si>
  <si>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</si>
  <si>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</si>
  <si>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</si>
  <si>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</si>
  <si>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</si>
  <si>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</si>
  <si>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</si>
  <si>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</si>
  <si>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</si>
  <si>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</si>
  <si>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</si>
  <si>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</si>
  <si>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</si>
  <si>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</si>
  <si>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</si>
  <si>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</si>
  <si>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</si>
  <si>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</si>
  <si>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</si>
  <si>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</si>
  <si>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</si>
  <si>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</si>
  <si>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</si>
  <si>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</si>
  <si>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</si>
  <si>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</si>
  <si>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</si>
  <si>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</si>
  <si>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</si>
  <si>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</si>
  <si>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</si>
  <si>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</si>
  <si>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</si>
  <si>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</si>
  <si>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</si>
  <si>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</si>
  <si>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</si>
  <si>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</si>
  <si>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</si>
  <si>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</si>
  <si>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</si>
  <si>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</si>
  <si>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</si>
  <si>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</si>
  <si>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</si>
  <si>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</si>
  <si>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</si>
  <si>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</si>
  <si>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</si>
  <si>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</si>
  <si>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</si>
  <si>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</si>
  <si>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</si>
  <si>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</si>
  <si>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</si>
  <si>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</si>
  <si>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</si>
  <si>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</si>
  <si>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</si>
  <si>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</si>
  <si>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</si>
  <si>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</si>
  <si>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</si>
  <si>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</si>
  <si>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</si>
  <si>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</si>
  <si>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</si>
  <si>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</si>
  <si>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</si>
  <si>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</si>
  <si>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</si>
  <si>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</si>
  <si>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</si>
  <si>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</si>
  <si>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</si>
  <si>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</si>
  <si>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</si>
  <si>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</si>
  <si>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</si>
  <si>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</si>
  <si>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</si>
  <si>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</si>
  <si>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</si>
  <si>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</si>
  <si>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</si>
  <si>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</si>
  <si>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</si>
  <si>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</si>
  <si>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</si>
  <si>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</si>
  <si>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</si>
  <si>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</si>
  <si>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</si>
  <si>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</si>
  <si>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</si>
  <si>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</si>
  <si>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</si>
  <si>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</si>
  <si>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</si>
  <si>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</si>
  <si>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</si>
  <si>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</si>
  <si>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</si>
  <si>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</si>
  <si>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</si>
  <si>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</si>
  <si>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</si>
  <si>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</si>
  <si>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</si>
  <si>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</si>
  <si>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</si>
  <si>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</si>
  <si>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</si>
  <si>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</si>
  <si>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</si>
  <si>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</si>
  <si>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</si>
  <si>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</si>
  <si>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</si>
  <si>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</si>
  <si>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</si>
  <si>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</si>
  <si>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</si>
  <si>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</si>
  <si>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</si>
  <si>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</si>
  <si>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</si>
  <si>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</si>
  <si>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</si>
  <si>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</si>
  <si>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</si>
  <si>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</si>
  <si>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</si>
  <si>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</si>
  <si>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</si>
  <si>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</si>
  <si>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</si>
  <si>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</si>
  <si>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</si>
  <si>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</si>
  <si>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</si>
  <si>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</si>
  <si>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</si>
  <si>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</si>
  <si>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</si>
  <si>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</si>
  <si>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</si>
  <si>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</si>
  <si>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</si>
  <si>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</si>
  <si>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</si>
  <si>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</si>
  <si>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</si>
  <si>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</si>
  <si>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</si>
  <si>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</si>
  <si>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</si>
  <si>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</si>
  <si>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</si>
  <si>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</si>
  <si>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</si>
  <si>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</si>
  <si>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</si>
  <si>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</si>
  <si>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</si>
  <si>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</si>
  <si>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</si>
  <si>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</si>
  <si>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</si>
  <si>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</si>
  <si>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</si>
  <si>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</si>
  <si>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</si>
  <si>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</si>
  <si>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</si>
  <si>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</si>
  <si>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</si>
  <si>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</si>
  <si>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</si>
  <si>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</si>
  <si>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</si>
  <si>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</si>
  <si>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</si>
  <si>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</si>
  <si>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</si>
  <si>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</si>
  <si>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</si>
  <si>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</si>
  <si>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</si>
  <si>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</si>
  <si>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</si>
  <si>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</si>
  <si>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</si>
  <si>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</si>
  <si>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</si>
  <si>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</si>
  <si>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</si>
  <si>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</si>
  <si>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</si>
  <si>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</si>
  <si>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</si>
  <si>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</si>
  <si>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</si>
  <si>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</si>
  <si>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</si>
  <si>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</si>
  <si>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</si>
  <si>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</si>
  <si>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</si>
  <si>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</si>
  <si>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</si>
  <si>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</si>
  <si>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</si>
  <si>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</si>
  <si>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</si>
  <si>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</si>
  <si>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</si>
  <si>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</si>
  <si>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</si>
  <si>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</si>
  <si>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</si>
  <si>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</si>
  <si>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</si>
  <si>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</si>
  <si>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</si>
  <si>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</si>
  <si>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</si>
  <si>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</si>
  <si>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</si>
  <si>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</si>
  <si>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</si>
  <si>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</si>
  <si>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</si>
  <si>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</si>
  <si>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</si>
  <si>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</si>
  <si>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</si>
  <si>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</si>
  <si>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</si>
  <si>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</si>
  <si>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</si>
  <si>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</si>
  <si>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</si>
  <si>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</si>
  <si>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</si>
  <si>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</si>
  <si>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</si>
  <si>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</si>
  <si>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</si>
  <si>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</si>
  <si>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</si>
  <si>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</si>
  <si>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</si>
  <si>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</si>
  <si>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</si>
  <si>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</si>
  <si>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</si>
  <si>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</si>
  <si>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</si>
  <si>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</si>
  <si>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</si>
  <si>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</si>
  <si>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</si>
  <si>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</si>
  <si>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</si>
  <si>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</si>
  <si>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</si>
  <si>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</si>
  <si>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</si>
  <si>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</si>
  <si>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</si>
  <si>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</si>
  <si>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</si>
  <si>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</si>
  <si>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</si>
  <si>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</si>
  <si>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</si>
  <si>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</si>
  <si>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</si>
  <si>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</si>
  <si>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</si>
  <si>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</si>
  <si>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</si>
  <si>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</si>
  <si>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</si>
  <si>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</si>
  <si>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</si>
  <si>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</si>
  <si>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</si>
  <si>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</si>
  <si>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</si>
  <si>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</si>
  <si>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</si>
  <si>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</si>
  <si>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</si>
  <si>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</si>
  <si>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</si>
  <si>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</si>
  <si>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</si>
  <si>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</si>
  <si>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</si>
  <si>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</si>
  <si>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</si>
  <si>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</si>
  <si>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</si>
  <si>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</si>
  <si>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</si>
  <si>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</si>
  <si>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</si>
  <si>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</si>
  <si>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</si>
  <si>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</si>
  <si>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</si>
  <si>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</si>
  <si>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</si>
  <si>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</si>
  <si>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</si>
  <si>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</si>
  <si>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</si>
  <si>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</si>
  <si>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</si>
  <si>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</si>
  <si>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</si>
  <si>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</si>
  <si>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</si>
  <si>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</si>
  <si>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</si>
  <si>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</si>
  <si>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</si>
  <si>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</si>
  <si>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</si>
  <si>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</si>
  <si>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</si>
  <si>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</si>
  <si>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</si>
  <si>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</si>
  <si>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</si>
  <si>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</si>
  <si>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</si>
  <si>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</si>
  <si>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</si>
  <si>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</si>
  <si>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</si>
  <si>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</si>
  <si>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</si>
  <si>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</si>
  <si>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</si>
  <si>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</si>
  <si>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</si>
  <si>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</si>
  <si>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</si>
  <si>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</si>
  <si>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</si>
  <si>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</si>
  <si>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</si>
  <si>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</si>
  <si>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</si>
  <si>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</si>
  <si>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</si>
  <si>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</si>
  <si>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</si>
  <si>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</si>
  <si>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</si>
  <si>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</si>
  <si>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</si>
  <si>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</si>
  <si>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</si>
  <si>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</si>
  <si>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</si>
  <si>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</si>
  <si>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</si>
  <si>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</si>
  <si>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</si>
  <si>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</si>
  <si>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</si>
  <si>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</si>
  <si>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</si>
  <si>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</si>
  <si>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</si>
  <si>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</si>
  <si>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</si>
  <si>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</si>
  <si>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</si>
  <si>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</si>
  <si>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</si>
  <si>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</si>
  <si>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</si>
  <si>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</si>
  <si>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</si>
  <si>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</si>
  <si>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</si>
  <si>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</si>
  <si>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</si>
  <si>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</si>
  <si>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</si>
  <si>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</si>
  <si>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</si>
  <si>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</si>
  <si>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</si>
  <si>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</si>
  <si>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</si>
  <si>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</si>
  <si>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</si>
  <si>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</si>
  <si>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</si>
  <si>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</si>
  <si>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</si>
  <si>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</si>
  <si>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</si>
  <si>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</si>
  <si>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</si>
  <si>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</si>
  <si>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</si>
  <si>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</si>
  <si>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</si>
  <si>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</si>
  <si>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</si>
  <si>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</si>
  <si>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</si>
  <si>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</si>
  <si>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</si>
  <si>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</si>
  <si>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</si>
  <si>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</si>
  <si>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</si>
  <si>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</si>
  <si>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</si>
  <si>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</si>
  <si>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</si>
  <si>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</si>
  <si>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</si>
  <si>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</si>
  <si>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</si>
  <si>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</si>
  <si>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</si>
  <si>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</si>
  <si>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</si>
  <si>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</si>
  <si>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</si>
  <si>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</si>
  <si>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</si>
  <si>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</si>
  <si>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</si>
  <si>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</si>
  <si>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</si>
  <si>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</si>
  <si>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</si>
  <si>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</si>
  <si>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</si>
  <si>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</si>
  <si>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</si>
  <si>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</si>
  <si>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</si>
  <si>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</si>
  <si>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</si>
  <si>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</si>
  <si>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</si>
  <si>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</si>
  <si>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</si>
  <si>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</si>
  <si>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</si>
  <si>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</si>
  <si>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</si>
  <si>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</si>
  <si>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</si>
  <si>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</si>
  <si>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</si>
  <si>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</si>
  <si>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</si>
  <si>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</si>
  <si>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</si>
  <si>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</si>
  <si>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</si>
  <si>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</si>
  <si>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</si>
  <si>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</si>
  <si>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</si>
  <si>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</si>
  <si>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</si>
  <si>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</si>
  <si>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</si>
  <si>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</si>
  <si>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</si>
  <si>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</si>
  <si>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</si>
  <si>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</si>
  <si>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</si>
  <si>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</si>
  <si>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</si>
  <si>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</si>
  <si>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</si>
  <si>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</si>
  <si>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</si>
  <si>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</si>
  <si>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</si>
  <si>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</si>
  <si>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</si>
  <si>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</si>
  <si>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</si>
  <si>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</si>
  <si>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</si>
  <si>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</si>
  <si>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</si>
  <si>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</si>
  <si>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</si>
  <si>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</si>
  <si>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</si>
  <si>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</si>
  <si>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</si>
  <si>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</si>
  <si>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</si>
  <si>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</si>
  <si>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</si>
  <si>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</si>
  <si>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</si>
  <si>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</si>
  <si>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Abbot Whisper MS</t>
  </si>
  <si>
    <t>Abbot Whisper LS</t>
  </si>
  <si>
    <t>Pilot 150, 190 cm</t>
  </si>
  <si>
    <t>Pilot 150, 300 cm</t>
  </si>
  <si>
    <t>Медведева А.Ю.</t>
  </si>
  <si>
    <t>Вольхин М.В.</t>
  </si>
  <si>
    <t>Оставлен</t>
  </si>
  <si>
    <t>Извлечён</t>
  </si>
  <si>
    <t>лучевой</t>
  </si>
  <si>
    <t xml:space="preserve">Контроль места пункции, повязка на 6 ч. </t>
  </si>
  <si>
    <t>DES, Metafor</t>
  </si>
  <si>
    <t>50 ml</t>
  </si>
  <si>
    <t>Волженцева Ю.В.</t>
  </si>
  <si>
    <t>Правый</t>
  </si>
  <si>
    <t>Shunmei 0,6</t>
  </si>
  <si>
    <t>Shunmei 0,7</t>
  </si>
  <si>
    <t>10:24</t>
  </si>
  <si>
    <t>проходим, контуры ровные</t>
  </si>
  <si>
    <t>Одинцов Н.Г.</t>
  </si>
  <si>
    <t>26:00</t>
  </si>
  <si>
    <t>3,25 - 6</t>
  </si>
  <si>
    <t>2,25 - 24</t>
  </si>
  <si>
    <t>2,75 - 19</t>
  </si>
  <si>
    <t>3,0 - 44</t>
  </si>
  <si>
    <r>
      <rPr>
        <b/>
        <sz val="10"/>
        <color theme="1"/>
        <rFont val="Arial Narrow"/>
        <family val="2"/>
        <charset val="204"/>
      </rPr>
      <t>острая тотальная оккюзия на уровне проксимального сегмента, субтотальный стеноз устья крупной ДВ, ХРОНИЧЕСКАЯ ТОТАЛЬНАЯ ОККЮЗИЯ СРЕДНЕГО СЕГМЕНТА .</t>
    </r>
    <r>
      <rPr>
        <sz val="10"/>
        <color theme="1"/>
        <rFont val="Arial Narrow"/>
        <family val="2"/>
        <charset val="204"/>
      </rPr>
      <t xml:space="preserve">  Антеградный кровоток по крупной ДВ и крупной значимой СВ - TIMI 0. TTG2, слабые коллатерали из ПКА в дистальный сегмент ПНА (ПКА- артерия донор). </t>
    </r>
  </si>
  <si>
    <r>
      <rPr>
        <b/>
        <sz val="10"/>
        <color theme="1"/>
        <rFont val="Arial Narrow"/>
        <family val="2"/>
        <charset val="204"/>
      </rPr>
      <t>пролонгированный значимый стеноз проксимального сегмента более 70%, стенозы среднего сегмента 30%, стеноз дистального сегмента с пристеночным тромбом оккюзирующий просвет до 90%, субтотальный стеноз зоны "креста" ПКА.</t>
    </r>
    <r>
      <rPr>
        <sz val="10"/>
        <color theme="1"/>
        <rFont val="Arial Narrow"/>
        <family val="2"/>
        <charset val="204"/>
      </rPr>
      <t xml:space="preserve">  Антеградный кровоток TIMI I. TTG2, слабые коллатерали из бассейна ОА в дистальный сегмента  ЗМЖВ.</t>
    </r>
  </si>
  <si>
    <r>
      <t>Совместно с д/кардиологом: с учетом клинических данных, ЭКГ и КАГ рекомендовано</t>
    </r>
    <r>
      <rPr>
        <u/>
        <sz val="11"/>
        <color theme="1"/>
        <rFont val="Aharoni"/>
        <charset val="204"/>
      </rPr>
      <t xml:space="preserve"> максимальная реваскуляризация миокарда : реканализация ПНА и ПКА. </t>
    </r>
  </si>
  <si>
    <t>350 ml</t>
  </si>
  <si>
    <t>стеноз проксимального сегмента 30%, стенозы среднего сегмента 50%, стеноз дистального сегмента 70%. Стеноз прокс/3 ВТК 50%.  Антеградный кровоток TIMI III.</t>
  </si>
  <si>
    <r>
      <rPr>
        <b/>
        <sz val="9"/>
        <color theme="1"/>
        <rFont val="Calibri"/>
        <family val="2"/>
        <charset val="204"/>
        <scheme val="minor"/>
      </rPr>
      <t xml:space="preserve">1) </t>
    </r>
    <r>
      <rPr>
        <sz val="9"/>
        <color theme="1"/>
        <rFont val="Calibri"/>
        <family val="2"/>
        <charset val="204"/>
        <scheme val="minor"/>
      </rPr>
      <t xml:space="preserve">Устье ствола ЛКА катетеризировано проводниковым катетером Launcher JL 3.5 6Fr. Коронарный проводник Shunmei 0,7 проведен через зону острой окклюзии в дистальный сегмент ДВ. Выполнена реканализация проксимального сегмента ПНА, ДВ и СВ1 БК Колибри 2.0-15. В ДВ имплантирован  DES Evermine  2,25 х 24  мм, в проксимальный сегмент ПНА с оверллапингом имплантирован  DES Evermine  2,75 х 19,  давлением  9 атм. Постдилатация и оптимизация стентов БК NC Аксиома 3.25-6, давлением 16 атм. На контрольных съемках стенты раскрыты удовлетворительно, признаков краевых диссекций, тромбоза, экстравазации контрастного вещества не выявлено, кровоток по проксимальному сегменту ПНА, ДВ и СВ полностью востановлен TIMI III. Ангиографический результат удовлетворительный. </t>
    </r>
    <r>
      <rPr>
        <b/>
        <sz val="9"/>
        <color theme="1"/>
        <rFont val="Calibri"/>
        <family val="2"/>
        <charset val="204"/>
        <scheme val="minor"/>
      </rPr>
      <t>2)</t>
    </r>
    <r>
      <rPr>
        <sz val="9"/>
        <color theme="1"/>
        <rFont val="Calibri"/>
        <family val="2"/>
        <charset val="204"/>
        <scheme val="minor"/>
      </rPr>
      <t xml:space="preserve"> 1) Устье ПКА катетеризировано проводниковым катетером Launcher JR 3.5 6Fr. Коронарный проводник Shunmei 0,7 проведен  в дистальный сегмент ЗМЖВ. Аспирационным катетером Medtronic Export Advance выполнена успешная аспирация тромба.  В зону "креста" ПКА с частичным покрытием дистального сегмента ПКА имплантирован  DES Evermine  3,0 х 44 мм, в проксимальный сегмент ПКА  имплантирован  DES Resolute Integrity  3,5 х 30,  давлением  12 атм. Постдилатация и оптимизация стентов БК NC Аксиома 3.25-6, давлением 16 атм.   На контрольных съемках стенты раскрыты удовлетворительно, признаков краевых диссекций, тромбоза, экстравазации контрастного вещества не выявлено, кровоток по ПКА TIMI III, определяется усиение коллатераьного кровотока по дистальному сегменту ПНА.Пациентка в стяжёлом состоянии транспортируется в ПРИТ для дальнейшего наблюдения и лечения.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</si>
</sst>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4">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1"/>
      <color theme="1"/>
      <name val="Aharoni"/>
      <charset val="177"/>
    </font>
    <font>
      <b/>
      <sz val="10"/>
      <color theme="1"/>
      <name val="Arial Narrow"/>
      <family val="2"/>
      <charset val="204"/>
    </font>
    <font>
      <sz val="10"/>
      <color theme="1"/>
      <name val="Arial Narrow"/>
      <family val="2"/>
      <charset val="204"/>
    </font>
    <font>
      <u/>
      <sz val="11"/>
      <color theme="1"/>
      <name val="Aharoni"/>
      <charset val="204"/>
    </font>
    <font>
      <sz val="9"/>
      <color theme="1"/>
      <name val="Calibri"/>
      <family val="2"/>
      <charset val="204"/>
      <scheme val="minor"/>
    </font>
    <font>
      <b/>
      <sz val="9"/>
      <color theme="1"/>
      <name val="Calibri"/>
      <family val="2"/>
      <charset val="204"/>
      <scheme val="minor"/>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3"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4" fillId="0" borderId="0" xfId="0" applyFont="1" applyAlignment="1">
      <alignment horizontal="centerContinuous" vertical="top" wrapText="1"/>
    </xf>
    <xf numFmtId="0" fontId="64"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5" fillId="0" borderId="12" xfId="0" applyFont="1" applyBorder="1" applyAlignment="1" applyProtection="1">
      <alignment vertical="top" wrapText="1"/>
      <protection locked="0"/>
    </xf>
    <xf numFmtId="0" fontId="66"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5"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7"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4"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8"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1" fillId="13" borderId="0" xfId="0" applyFont="1" applyFill="1" applyAlignment="1">
      <alignment horizontal="left"/>
    </xf>
    <xf numFmtId="0" fontId="1" fillId="0" borderId="0" xfId="0" applyFont="1"/>
    <xf numFmtId="0" fontId="68"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62" fillId="0" borderId="0" xfId="0" applyFont="1" applyAlignment="1" applyProtection="1">
      <alignment horizontal="justify" vertical="top" wrapText="1"/>
      <protection locked="0"/>
    </xf>
    <xf numFmtId="0" fontId="58" fillId="0" borderId="0" xfId="0" applyFont="1" applyAlignment="1" applyProtection="1">
      <alignment horizontal="justify" vertical="top" wrapText="1"/>
      <protection locked="0"/>
    </xf>
    <xf numFmtId="0" fontId="58" fillId="0" borderId="13" xfId="0" applyFont="1" applyBorder="1" applyAlignment="1" applyProtection="1">
      <alignment horizontal="justify" vertical="top" wrapText="1"/>
      <protection locked="0"/>
    </xf>
    <xf numFmtId="0" fontId="58" fillId="0" borderId="3" xfId="0" applyFont="1" applyBorder="1" applyAlignment="1" applyProtection="1">
      <alignment horizontal="justify" vertical="top" wrapText="1"/>
      <protection locked="0"/>
    </xf>
    <xf numFmtId="0" fontId="58" fillId="0" borderId="9" xfId="0" applyFont="1" applyBorder="1" applyAlignment="1" applyProtection="1">
      <alignment horizontal="justify" vertical="top" wrapText="1"/>
      <protection locked="0"/>
    </xf>
    <xf numFmtId="0" fontId="62" fillId="0" borderId="5" xfId="0" applyFont="1" applyBorder="1" applyAlignment="1" applyProtection="1">
      <alignment horizontal="justify" vertical="top" wrapText="1"/>
      <protection locked="0"/>
    </xf>
    <xf numFmtId="0" fontId="62" fillId="0" borderId="11" xfId="0" applyFont="1" applyBorder="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1"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70" fillId="0" borderId="5" xfId="0" applyFont="1" applyBorder="1" applyAlignment="1" applyProtection="1">
      <alignment horizontal="justify" vertical="top" wrapText="1"/>
      <protection locked="0"/>
    </xf>
    <xf numFmtId="0" fontId="72" fillId="0" borderId="12" xfId="0" applyFont="1" applyBorder="1" applyAlignment="1" applyProtection="1">
      <alignment horizontal="justify" vertical="top" wrapText="1"/>
      <protection locked="0"/>
    </xf>
    <xf numFmtId="0" fontId="72" fillId="0" borderId="0" xfId="0" applyFont="1" applyAlignment="1">
      <alignment horizontal="justify" vertical="top" wrapText="1"/>
    </xf>
    <xf numFmtId="0" fontId="72" fillId="0" borderId="13" xfId="0" applyFont="1" applyBorder="1" applyAlignment="1">
      <alignment horizontal="justify" vertical="top" wrapText="1"/>
    </xf>
    <xf numFmtId="0" fontId="72"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9"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8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6" totalsRowShown="0" headerRowDxfId="66" tableBorderDxfId="65">
  <tableColumns count="4">
    <tableColumn id="1" name="№" dataDxfId="64">
      <calculatedColumnFormula>ROW(Вмешательства[[#This Row],[№]])-1</calculatedColumnFormula>
    </tableColumn>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showWhiteSpace="0" zoomScaleNormal="100" zoomScaleSheetLayoutView="100" zoomScalePageLayoutView="90" workbookViewId="0">
      <selection activeCell="J13" sqref="J13"/>
    </sheetView>
  </sheetViews>
  <sheetFormatPr defaultColWidth="0" defaultRowHeight="15" zeroHeight="1"/>
  <cols>
    <col min="1" max="1" width="17.7109375" style="210" bestFit="1" customWidth="1"/>
    <col min="2" max="2" width="21.5703125" style="210" customWidth="1"/>
    <col min="3" max="3" width="6.28515625" style="210" customWidth="1"/>
    <col min="4" max="4" width="6.85546875" style="210" customWidth="1"/>
    <col min="5" max="5" width="4.85546875" style="210" customWidth="1"/>
    <col min="6" max="6" width="6.28515625" style="210" customWidth="1"/>
    <col min="7" max="7" width="17.7109375" style="210" customWidth="1"/>
    <col min="8" max="8" width="17.140625" style="210" customWidth="1"/>
    <col min="9" max="9" width="15.28515625" style="210" customWidth="1"/>
    <col min="10" max="10" width="7.28515625" style="210"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2" t="s">
        <v>213</v>
      </c>
      <c r="B6" s="223"/>
      <c r="C6" s="223"/>
      <c r="D6" s="223"/>
      <c r="E6" s="223"/>
      <c r="F6" s="223"/>
      <c r="G6" s="223"/>
      <c r="H6" s="224"/>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52"/>
      <c r="D7" s="52"/>
      <c r="E7" s="52"/>
      <c r="F7" s="52"/>
      <c r="G7"/>
      <c r="H7" s="38"/>
    </row>
    <row r="8" spans="1:8" ht="18.75">
      <c r="A8" s="13" t="s">
        <v>191</v>
      </c>
      <c r="B8" s="19">
        <v>45693</v>
      </c>
      <c r="C8" s="53"/>
      <c r="D8" s="15" t="s">
        <v>186</v>
      </c>
      <c r="E8" s="28"/>
      <c r="F8" s="28"/>
      <c r="G8" s="16"/>
      <c r="H8" s="17"/>
    </row>
    <row r="9" spans="1:8" ht="15.6" customHeight="1">
      <c r="A9" s="20" t="s">
        <v>193</v>
      </c>
      <c r="B9" s="21">
        <v>0.92361111111111116</v>
      </c>
      <c r="C9" s="53"/>
      <c r="D9" s="93" t="s">
        <v>172</v>
      </c>
      <c r="E9" s="91"/>
      <c r="F9" s="91"/>
      <c r="G9" s="22" t="s">
        <v>163</v>
      </c>
      <c r="H9" s="24"/>
    </row>
    <row r="10" spans="1:8" ht="15.6" customHeight="1" thickBot="1">
      <c r="A10" s="82" t="s">
        <v>194</v>
      </c>
      <c r="B10" s="83">
        <v>0.93055555555555547</v>
      </c>
      <c r="C10" s="54"/>
      <c r="D10" s="94" t="s">
        <v>173</v>
      </c>
      <c r="E10" s="92"/>
      <c r="F10" s="92"/>
      <c r="G10" s="23" t="s">
        <v>275</v>
      </c>
      <c r="H10" s="25"/>
    </row>
    <row r="11" spans="1:8" ht="17.25" thickTop="1" thickBot="1">
      <c r="A11" s="88" t="s">
        <v>192</v>
      </c>
      <c r="B11" s="202" t="s">
        <v>535</v>
      </c>
      <c r="C11" s="8"/>
      <c r="D11" s="94" t="s">
        <v>170</v>
      </c>
      <c r="E11" s="92"/>
      <c r="F11" s="92"/>
      <c r="G11" s="23" t="s">
        <v>251</v>
      </c>
      <c r="H11" s="25"/>
    </row>
    <row r="12" spans="1:8" ht="16.5" thickTop="1">
      <c r="A12" s="80" t="s">
        <v>8</v>
      </c>
      <c r="B12" s="81">
        <v>18972</v>
      </c>
      <c r="C12" s="11"/>
      <c r="D12" s="94" t="s">
        <v>302</v>
      </c>
      <c r="E12" s="92"/>
      <c r="F12" s="92"/>
      <c r="G12" s="23" t="s">
        <v>529</v>
      </c>
      <c r="H12" s="25"/>
    </row>
    <row r="13" spans="1:8" ht="15.75">
      <c r="A13" s="14" t="s">
        <v>10</v>
      </c>
      <c r="B13" s="29">
        <f>DATEDIF(B12,B8,"y")</f>
        <v>73</v>
      </c>
      <c r="C13" s="11"/>
      <c r="D13" s="94"/>
      <c r="E13" s="92"/>
      <c r="F13" s="92"/>
      <c r="G13" s="23"/>
      <c r="H13" s="25"/>
    </row>
    <row r="14" spans="1:8" ht="15.75">
      <c r="A14" s="14" t="s">
        <v>12</v>
      </c>
      <c r="B14" s="18">
        <v>3444</v>
      </c>
      <c r="C14" s="11"/>
      <c r="D14" s="35"/>
      <c r="E14" s="35"/>
      <c r="F14" s="35"/>
      <c r="G14" s="36"/>
      <c r="H14" s="55"/>
    </row>
    <row r="15" spans="1:8" ht="15.75">
      <c r="A15" s="14" t="s">
        <v>133</v>
      </c>
      <c r="B15" s="18">
        <v>35</v>
      </c>
      <c r="C15"/>
      <c r="D15" s="35"/>
      <c r="E15" s="35"/>
      <c r="F15" s="35"/>
      <c r="G15" s="164" t="s">
        <v>397</v>
      </c>
      <c r="H15" s="168" t="s">
        <v>533</v>
      </c>
    </row>
    <row r="16" spans="1:8" ht="15.6" customHeight="1">
      <c r="A16" s="14" t="s">
        <v>106</v>
      </c>
      <c r="B16" s="18" t="s">
        <v>483</v>
      </c>
      <c r="C16"/>
      <c r="D16" s="35"/>
      <c r="E16" s="35"/>
      <c r="F16" s="35"/>
      <c r="G16" s="165" t="s">
        <v>399</v>
      </c>
      <c r="H16" s="163">
        <v>3770</v>
      </c>
    </row>
    <row r="17" spans="1:8" ht="14.45" customHeight="1">
      <c r="A17" s="39"/>
      <c r="B17" s="30"/>
      <c r="C17" s="30"/>
      <c r="D17" s="87"/>
      <c r="E17" s="87"/>
      <c r="F17" s="87"/>
      <c r="G17" s="166" t="s">
        <v>386</v>
      </c>
      <c r="H17" s="167">
        <f>H16*0.0019</f>
        <v>7.1630000000000003</v>
      </c>
    </row>
    <row r="18" spans="1:8" ht="14.45" customHeight="1">
      <c r="A18" s="56" t="s">
        <v>188</v>
      </c>
      <c r="B18" s="86" t="s">
        <v>530</v>
      </c>
      <c r="C18"/>
      <c r="D18" s="27" t="s">
        <v>210</v>
      </c>
      <c r="E18" s="27"/>
      <c r="F18" s="27"/>
      <c r="G18" s="84" t="s">
        <v>189</v>
      </c>
      <c r="H18" s="85" t="s">
        <v>525</v>
      </c>
    </row>
    <row r="19" spans="1:8" ht="14.45" customHeight="1">
      <c r="A19" s="39"/>
      <c r="B19" s="30"/>
      <c r="C19" s="30"/>
      <c r="D19" s="33"/>
      <c r="E19" s="33"/>
      <c r="F19" s="33"/>
      <c r="G19" s="30"/>
      <c r="H19" s="40"/>
    </row>
    <row r="20" spans="1:8" ht="14.45" customHeight="1">
      <c r="A20" s="56" t="s">
        <v>212</v>
      </c>
      <c r="B20" s="225" t="s">
        <v>534</v>
      </c>
      <c r="C20" s="226"/>
      <c r="D20" s="226"/>
      <c r="E20" s="226"/>
      <c r="F20" s="226"/>
      <c r="G20" s="226"/>
      <c r="H20" s="227"/>
    </row>
    <row r="21" spans="1:8">
      <c r="A21" s="57"/>
      <c r="B21" s="228"/>
      <c r="C21" s="228"/>
      <c r="D21" s="228"/>
      <c r="E21" s="228"/>
      <c r="F21" s="228"/>
      <c r="G21" s="228"/>
      <c r="H21" s="229"/>
    </row>
    <row r="22" spans="1:8" ht="15.6" customHeight="1">
      <c r="A22" s="58" t="s">
        <v>271</v>
      </c>
      <c r="B22" s="252" t="s">
        <v>541</v>
      </c>
      <c r="C22" s="230"/>
      <c r="D22" s="230"/>
      <c r="E22" s="230"/>
      <c r="F22" s="230"/>
      <c r="G22" s="230"/>
      <c r="H22" s="231"/>
    </row>
    <row r="23" spans="1:8" ht="14.45" customHeight="1">
      <c r="A23" s="37"/>
      <c r="B23" s="225"/>
      <c r="C23" s="225"/>
      <c r="D23" s="225"/>
      <c r="E23" s="225"/>
      <c r="F23" s="225"/>
      <c r="G23" s="225"/>
      <c r="H23" s="232"/>
    </row>
    <row r="24" spans="1:8" ht="14.45" customHeight="1">
      <c r="A24" s="59"/>
      <c r="B24" s="225"/>
      <c r="C24" s="225"/>
      <c r="D24" s="225"/>
      <c r="E24" s="225"/>
      <c r="F24" s="225"/>
      <c r="G24" s="225"/>
      <c r="H24" s="232"/>
    </row>
    <row r="25" spans="1:8" ht="14.45" customHeight="1">
      <c r="A25" s="37"/>
      <c r="B25" s="225"/>
      <c r="C25" s="225"/>
      <c r="D25" s="225"/>
      <c r="E25" s="225"/>
      <c r="F25" s="225"/>
      <c r="G25" s="225"/>
      <c r="H25" s="232"/>
    </row>
    <row r="26" spans="1:8" ht="14.45" customHeight="1">
      <c r="A26" s="39"/>
      <c r="B26" s="233"/>
      <c r="C26" s="233"/>
      <c r="D26" s="233"/>
      <c r="E26" s="233"/>
      <c r="F26" s="233"/>
      <c r="G26" s="233"/>
      <c r="H26" s="234"/>
    </row>
    <row r="27" spans="1:8" ht="14.45" customHeight="1">
      <c r="A27" s="58" t="s">
        <v>272</v>
      </c>
      <c r="B27" s="252" t="s">
        <v>545</v>
      </c>
      <c r="C27" s="230"/>
      <c r="D27" s="230"/>
      <c r="E27" s="230"/>
      <c r="F27" s="230"/>
      <c r="G27" s="230"/>
      <c r="H27" s="231"/>
    </row>
    <row r="28" spans="1:8" ht="15.6" customHeight="1">
      <c r="A28" s="37"/>
      <c r="B28" s="225"/>
      <c r="C28" s="225"/>
      <c r="D28" s="225"/>
      <c r="E28" s="225"/>
      <c r="F28" s="225"/>
      <c r="G28" s="225"/>
      <c r="H28" s="232"/>
    </row>
    <row r="29" spans="1:8" ht="14.45" customHeight="1">
      <c r="A29" s="37"/>
      <c r="B29" s="225"/>
      <c r="C29" s="225"/>
      <c r="D29" s="225"/>
      <c r="E29" s="225"/>
      <c r="F29" s="225"/>
      <c r="G29" s="225"/>
      <c r="H29" s="232"/>
    </row>
    <row r="30" spans="1:8" ht="14.45" customHeight="1">
      <c r="A30" s="31"/>
      <c r="B30" s="225"/>
      <c r="C30" s="225"/>
      <c r="D30" s="225"/>
      <c r="E30" s="225"/>
      <c r="F30" s="225"/>
      <c r="G30" s="225"/>
      <c r="H30" s="232"/>
    </row>
    <row r="31" spans="1:8" ht="14.45" customHeight="1">
      <c r="A31" s="32"/>
      <c r="B31" s="233"/>
      <c r="C31" s="233"/>
      <c r="D31" s="233"/>
      <c r="E31" s="233"/>
      <c r="F31" s="233"/>
      <c r="G31" s="233"/>
      <c r="H31" s="234"/>
    </row>
    <row r="32" spans="1:8" ht="14.45" customHeight="1">
      <c r="A32" s="58" t="s">
        <v>273</v>
      </c>
      <c r="B32" s="252" t="s">
        <v>542</v>
      </c>
      <c r="C32" s="230"/>
      <c r="D32" s="230"/>
      <c r="E32" s="230"/>
      <c r="F32" s="230"/>
      <c r="G32" s="230"/>
      <c r="H32" s="231"/>
    </row>
    <row r="33" spans="1:8" ht="14.45" customHeight="1">
      <c r="A33" s="37"/>
      <c r="B33" s="225"/>
      <c r="C33" s="225"/>
      <c r="D33" s="225"/>
      <c r="E33" s="225"/>
      <c r="F33" s="225"/>
      <c r="G33" s="225"/>
      <c r="H33" s="232"/>
    </row>
    <row r="34" spans="1:8" ht="15.6" customHeight="1">
      <c r="A34" s="37"/>
      <c r="B34" s="225"/>
      <c r="C34" s="225"/>
      <c r="D34" s="225"/>
      <c r="E34" s="225"/>
      <c r="F34" s="225"/>
      <c r="G34" s="225"/>
      <c r="H34" s="232"/>
    </row>
    <row r="35" spans="1:8" ht="14.45" customHeight="1">
      <c r="A35" s="37"/>
      <c r="B35" s="225"/>
      <c r="C35" s="225"/>
      <c r="D35" s="225"/>
      <c r="E35" s="225"/>
      <c r="F35" s="225"/>
      <c r="G35" s="225"/>
      <c r="H35" s="232"/>
    </row>
    <row r="36" spans="1:8" ht="15.6" customHeight="1">
      <c r="A36" s="37"/>
      <c r="B36" s="225"/>
      <c r="C36" s="225"/>
      <c r="D36" s="225"/>
      <c r="E36" s="225"/>
      <c r="F36" s="225"/>
      <c r="G36" s="225"/>
      <c r="H36" s="232"/>
    </row>
    <row r="37" spans="1:8" ht="14.45" customHeight="1">
      <c r="A37" s="37"/>
      <c r="B37"/>
      <c r="C37"/>
      <c r="D37" s="218" t="str">
        <f>IF($A$6=Вмешательства!$D$3,Вмешательства!$F$18,"")</f>
        <v/>
      </c>
      <c r="E37" s="218"/>
      <c r="F37" s="118"/>
      <c r="G37" s="118"/>
      <c r="H37" s="122"/>
    </row>
    <row r="38" spans="1:8" ht="14.45" customHeight="1">
      <c r="A38" s="37"/>
      <c r="B38"/>
      <c r="C38" s="123"/>
      <c r="D38" s="219"/>
      <c r="E38" s="220"/>
      <c r="F38" s="220"/>
      <c r="G38" s="220"/>
      <c r="H38" s="221"/>
    </row>
    <row r="39" spans="1:8" ht="14.45" customHeight="1">
      <c r="A39" s="34"/>
      <c r="B39" s="118"/>
      <c r="C39" s="123"/>
      <c r="D39" s="220"/>
      <c r="E39" s="220"/>
      <c r="F39" s="220"/>
      <c r="G39" s="220"/>
      <c r="H39" s="221"/>
    </row>
    <row r="40" spans="1:8" ht="14.45" customHeight="1">
      <c r="A40" s="34"/>
      <c r="B40" s="118"/>
      <c r="C40" s="123"/>
      <c r="D40" s="220"/>
      <c r="E40" s="220"/>
      <c r="F40" s="220"/>
      <c r="G40" s="220"/>
      <c r="H40" s="221"/>
    </row>
    <row r="41" spans="1:8" ht="14.45" customHeight="1">
      <c r="A41" s="34"/>
      <c r="B41" s="118"/>
      <c r="C41" s="123"/>
      <c r="D41" s="220"/>
      <c r="E41" s="220"/>
      <c r="F41" s="220"/>
      <c r="G41" s="220"/>
      <c r="H41" s="221"/>
    </row>
    <row r="42" spans="1:8" ht="14.45" customHeight="1">
      <c r="A42" s="34"/>
      <c r="B42" s="118"/>
      <c r="C42" s="124"/>
      <c r="D42" s="126" t="str">
        <f>IF(ЧКВ!A6=Вмешательства!D4,Вмешательства!F24,IF(ЧКВ!A6=Вмешательства!D6,Вмешательства!F24,IF(ЧКВ!A6=Вмешательства!D7,Вмешательства!F24,IF(ЧКВ!A6=Вмешательства!D8,Вмешательства!F24,IF(ЧКВ!A6=Вмешательства!D5,Вмешательства!F24,"Рекомендовано:")))))</f>
        <v>План оперативного вмешательства:</v>
      </c>
      <c r="E42" s="41"/>
      <c r="F42" s="41"/>
      <c r="G42" s="41"/>
      <c r="H42" s="60"/>
    </row>
    <row r="43" spans="1:8" ht="14.45" customHeight="1">
      <c r="A43" s="34"/>
      <c r="B43" s="118"/>
      <c r="C43" s="125"/>
      <c r="D43" s="215" t="s">
        <v>543</v>
      </c>
      <c r="E43" s="216"/>
      <c r="F43" s="216"/>
      <c r="G43" s="216"/>
      <c r="H43" s="217"/>
    </row>
    <row r="44" spans="1:8" ht="14.45" customHeight="1">
      <c r="A44" s="34"/>
      <c r="B44" s="118"/>
      <c r="C44" s="125"/>
      <c r="D44" s="216"/>
      <c r="E44" s="216"/>
      <c r="F44" s="216"/>
      <c r="G44" s="216"/>
      <c r="H44" s="217"/>
    </row>
    <row r="45" spans="1:8" ht="14.45" customHeight="1">
      <c r="A45" s="34"/>
      <c r="B45" s="118"/>
      <c r="C45" s="125"/>
      <c r="D45" s="216"/>
      <c r="E45" s="216"/>
      <c r="F45" s="216"/>
      <c r="G45" s="216"/>
      <c r="H45" s="217"/>
    </row>
    <row r="46" spans="1:8">
      <c r="A46" s="34"/>
      <c r="B46" s="118"/>
      <c r="C46" s="125"/>
      <c r="D46" s="216"/>
      <c r="E46" s="216"/>
      <c r="F46" s="216"/>
      <c r="G46" s="216"/>
      <c r="H46" s="217"/>
    </row>
    <row r="47" spans="1:8">
      <c r="A47" s="37"/>
      <c r="B47"/>
      <c r="C47" s="125"/>
      <c r="D47" s="216"/>
      <c r="E47" s="216"/>
      <c r="F47" s="216"/>
      <c r="G47" s="216"/>
      <c r="H47" s="217"/>
    </row>
    <row r="48" spans="1:8">
      <c r="A48" s="37"/>
      <c r="B48"/>
      <c r="C48" s="125"/>
      <c r="D48" s="216"/>
      <c r="E48" s="216"/>
      <c r="F48" s="216"/>
      <c r="G48" s="216"/>
      <c r="H48" s="217"/>
    </row>
    <row r="49" spans="1:13">
      <c r="A49" s="37"/>
      <c r="B49" s="204"/>
      <c r="C49" s="205"/>
      <c r="D49" s="216"/>
      <c r="E49" s="216"/>
      <c r="F49" s="216"/>
      <c r="G49" s="216"/>
      <c r="H49" s="217"/>
    </row>
    <row r="50" spans="1:13">
      <c r="A50" s="37"/>
      <c r="B50"/>
      <c r="C50"/>
      <c r="D50" s="216"/>
      <c r="E50" s="216"/>
      <c r="F50" s="216"/>
      <c r="G50" s="216"/>
      <c r="H50" s="217"/>
      <c r="M50" t="s">
        <v>211</v>
      </c>
    </row>
    <row r="51" spans="1:13">
      <c r="A51" s="61" t="s">
        <v>204</v>
      </c>
      <c r="B51" s="62" t="s">
        <v>528</v>
      </c>
      <c r="C51"/>
      <c r="D51"/>
      <c r="E51"/>
      <c r="F51"/>
      <c r="G51" s="73" t="str">
        <f>$G$9</f>
        <v>Щербаков А.С.</v>
      </c>
      <c r="H51" s="63"/>
    </row>
    <row r="52" spans="1:13">
      <c r="A52" s="37"/>
      <c r="B52"/>
      <c r="C52"/>
      <c r="D52"/>
      <c r="E52"/>
      <c r="F52"/>
      <c r="G52"/>
      <c r="H52" s="38"/>
    </row>
    <row r="53" spans="1:13">
      <c r="A53" s="64" t="s">
        <v>206</v>
      </c>
      <c r="B53" s="65" t="s">
        <v>523</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tabSelected="1" showWhiteSpace="0" topLeftCell="A11" zoomScaleNormal="100" zoomScaleSheetLayoutView="100" zoomScalePageLayoutView="90" workbookViewId="0">
      <selection activeCell="A25" sqref="A25:H37"/>
    </sheetView>
  </sheetViews>
  <sheetFormatPr defaultColWidth="0" defaultRowHeight="15" zeroHeight="1"/>
  <cols>
    <col min="1" max="1" width="18.85546875" style="211" customWidth="1"/>
    <col min="2" max="2" width="21.5703125" style="211" customWidth="1"/>
    <col min="3" max="3" width="6.28515625" style="211" customWidth="1"/>
    <col min="4" max="4" width="6.85546875" style="211" customWidth="1"/>
    <col min="5" max="5" width="4.85546875" style="211" customWidth="1"/>
    <col min="6" max="6" width="6" style="211" customWidth="1"/>
    <col min="7" max="7" width="17.7109375" style="211" customWidth="1"/>
    <col min="8" max="8" width="17.140625" style="211" customWidth="1"/>
    <col min="9" max="9" width="15.28515625" style="211" customWidth="1"/>
    <col min="10" max="10" width="7.28515625" style="211"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5" t="s">
        <v>242</v>
      </c>
      <c r="B6" s="246"/>
      <c r="C6" s="246"/>
      <c r="D6" s="246"/>
      <c r="E6" s="246"/>
      <c r="F6" s="246"/>
      <c r="G6" s="246"/>
      <c r="H6" s="247"/>
    </row>
    <row r="7" spans="1:8" ht="21.6" customHeight="1">
      <c r="A7" s="245"/>
      <c r="B7" s="246"/>
      <c r="C7" s="246"/>
      <c r="D7" s="246"/>
      <c r="E7" s="246"/>
      <c r="F7" s="246"/>
      <c r="G7" s="246"/>
      <c r="H7" s="247"/>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Код по ЕНМУ: A16.12.028.003</v>
      </c>
      <c r="B8"/>
      <c r="C8" s="244" t="s">
        <v>216</v>
      </c>
      <c r="D8" s="244"/>
      <c r="E8" s="244"/>
      <c r="F8" s="189">
        <v>2</v>
      </c>
      <c r="G8" s="117" t="s">
        <v>308</v>
      </c>
      <c r="H8" s="157"/>
    </row>
    <row r="9" spans="1:8" ht="15.75" thickTop="1">
      <c r="A9" s="51" t="str">
        <f>"Код модели:"&amp;" "&amp;IFERROR(IF(ISBLANK(H8),IF(A6=Вмешательства!D4,INDEX(Код.Модели[#All],MATCH(ЧКВ!B21,Код.Модели[[#All],[Диагноз]],0),MATCH(ЧКВ!C11,Вмешательства!F2:T2,0))," ")," "),"")</f>
        <v xml:space="preserve">Код модели:  </v>
      </c>
      <c r="B9"/>
      <c r="C9" s="244" t="s">
        <v>223</v>
      </c>
      <c r="D9" s="244"/>
      <c r="E9" s="244"/>
      <c r="F9" s="189">
        <v>1</v>
      </c>
      <c r="G9" s="117" t="s">
        <v>308</v>
      </c>
      <c r="H9" s="38"/>
    </row>
    <row r="10" spans="1:8">
      <c r="A10" s="51" t="str">
        <f>"Код метода:"&amp;" "&amp;IFERROR(IF(ISBLANK(ЧКВ!H8),IF(A6=Вмешательства!D4,INDEX(Код.Метода[#All],MATCH(ЧКВ!B21,Код.Метода[[#All],[Диагноз]],0),MATCH(ЧКВ!C11,Вмешательства!F12:T12,0))," ")," "),"")</f>
        <v xml:space="preserve">Код метода:  </v>
      </c>
      <c r="B10" s="188"/>
      <c r="C10" s="248" t="s">
        <v>221</v>
      </c>
      <c r="D10" s="248"/>
      <c r="E10" s="248"/>
      <c r="F10" s="192">
        <v>1</v>
      </c>
      <c r="G10" s="117"/>
      <c r="H10" s="38"/>
    </row>
    <row r="11" spans="1:8">
      <c r="A11" s="191"/>
      <c r="B11" s="195"/>
      <c r="C11" s="198">
        <f>SUM(F8:F10)</f>
        <v>4</v>
      </c>
      <c r="D11"/>
      <c r="E11"/>
      <c r="F11"/>
      <c r="G11"/>
      <c r="H11" s="38"/>
    </row>
    <row r="12" spans="1:8" ht="18.75">
      <c r="A12" s="74" t="s">
        <v>191</v>
      </c>
      <c r="B12" s="19">
        <f>КАГ!B8</f>
        <v>45693</v>
      </c>
      <c r="C12" s="11"/>
      <c r="D12" s="15" t="s">
        <v>186</v>
      </c>
      <c r="E12" s="28"/>
      <c r="F12" s="28"/>
      <c r="G12" s="16"/>
      <c r="H12" s="17"/>
    </row>
    <row r="13" spans="1:8" ht="15.75">
      <c r="A13" s="75" t="s">
        <v>193</v>
      </c>
      <c r="B13" s="21">
        <f>КАГ!B10</f>
        <v>0.93055555555555547</v>
      </c>
      <c r="C13" s="11"/>
      <c r="D13" s="93" t="s">
        <v>172</v>
      </c>
      <c r="E13" s="91"/>
      <c r="F13" s="91"/>
      <c r="G13" s="78" t="str">
        <f>КАГ!G9</f>
        <v>Щербаков А.С.</v>
      </c>
      <c r="H13" s="89" t="str">
        <f>IF(ISBLANK(КАГ!H9),"",КАГ!H9)</f>
        <v/>
      </c>
    </row>
    <row r="14" spans="1:8" ht="15.75">
      <c r="A14" s="75" t="s">
        <v>194</v>
      </c>
      <c r="B14" s="21">
        <v>0.99791666666666667</v>
      </c>
      <c r="C14" s="11"/>
      <c r="D14" s="94" t="s">
        <v>173</v>
      </c>
      <c r="E14" s="92"/>
      <c r="F14" s="92"/>
      <c r="G14" s="79" t="str">
        <f>КАГ!G10</f>
        <v>Синицина И.А.</v>
      </c>
      <c r="H14" s="90" t="str">
        <f>IF(ISBLANK(КАГ!H10),"",КАГ!H10)</f>
        <v/>
      </c>
    </row>
    <row r="15" spans="1:8" ht="16.5" thickBot="1">
      <c r="A15" s="162" t="s">
        <v>385</v>
      </c>
      <c r="B15" s="187">
        <f>IF(B14&lt;B13,B14+1,B14)-B13</f>
        <v>6.7361111111111205E-2</v>
      </c>
      <c r="C15"/>
      <c r="D15" s="94" t="s">
        <v>170</v>
      </c>
      <c r="E15" s="92"/>
      <c r="F15" s="92"/>
      <c r="G15" s="79" t="str">
        <f>КАГ!G11</f>
        <v>Чесноков С.Л.</v>
      </c>
      <c r="H15" s="90" t="str">
        <f>IF(ISBLANK(КАГ!H11),"",КАГ!H11)</f>
        <v/>
      </c>
    </row>
    <row r="16" spans="1:8" ht="17.25" thickTop="1" thickBot="1">
      <c r="A16" s="88" t="s">
        <v>192</v>
      </c>
      <c r="B16" s="200" t="str">
        <f>КАГ!B11</f>
        <v>Одинцов Н.Г.</v>
      </c>
      <c r="C16" s="199">
        <f>LEN(КАГ!B11)</f>
        <v>12</v>
      </c>
      <c r="D16" s="94" t="s">
        <v>302</v>
      </c>
      <c r="E16" s="92"/>
      <c r="F16" s="92"/>
      <c r="G16" s="79" t="str">
        <f>КАГ!G12</f>
        <v>Волженцева Ю.В.</v>
      </c>
      <c r="H16" s="90" t="str">
        <f>IF(ISBLANK(КАГ!H12),"",КАГ!H12)</f>
        <v/>
      </c>
    </row>
    <row r="17" spans="1:8" ht="16.5" thickTop="1">
      <c r="A17" s="14" t="s">
        <v>8</v>
      </c>
      <c r="B17" s="66">
        <f>КАГ!B12</f>
        <v>18972</v>
      </c>
      <c r="C17"/>
      <c r="D17" s="94" t="s">
        <v>184</v>
      </c>
      <c r="E17" s="92"/>
      <c r="F17" s="92"/>
      <c r="G17" s="79" t="str">
        <f>IF(ISBLANK(КАГ!G13),"",КАГ!G13)</f>
        <v/>
      </c>
      <c r="H17" s="90" t="str">
        <f>IF(ISBLANK(КАГ!H13),"",КАГ!H13)</f>
        <v/>
      </c>
    </row>
    <row r="18" spans="1:8" ht="15.75">
      <c r="A18" s="14" t="s">
        <v>10</v>
      </c>
      <c r="B18" s="29">
        <f>КАГ!B13</f>
        <v>73</v>
      </c>
      <c r="C18"/>
      <c r="D18"/>
      <c r="E18"/>
      <c r="F18"/>
      <c r="G18"/>
      <c r="H18" s="38"/>
    </row>
    <row r="19" spans="1:8" ht="14.45" customHeight="1">
      <c r="A19" s="14" t="s">
        <v>12</v>
      </c>
      <c r="B19" s="67">
        <f>КАГ!B14</f>
        <v>3444</v>
      </c>
      <c r="C19" s="68"/>
      <c r="D19" s="68"/>
      <c r="E19" s="68"/>
      <c r="F19" s="68"/>
      <c r="G19" s="164" t="s">
        <v>397</v>
      </c>
      <c r="H19" s="179" t="s">
        <v>536</v>
      </c>
    </row>
    <row r="20" spans="1:8" ht="14.45" customHeight="1">
      <c r="A20" s="14" t="s">
        <v>133</v>
      </c>
      <c r="B20" s="67">
        <f>КАГ!B15</f>
        <v>35</v>
      </c>
      <c r="C20" s="69"/>
      <c r="D20" s="69"/>
      <c r="E20" s="69"/>
      <c r="F20" s="69"/>
      <c r="G20" s="165" t="s">
        <v>399</v>
      </c>
      <c r="H20" s="180">
        <v>8190</v>
      </c>
    </row>
    <row r="21" spans="1:8" ht="14.45" customHeight="1">
      <c r="A21" s="14" t="s">
        <v>106</v>
      </c>
      <c r="B21" s="66" t="str">
        <f>КАГ!B16</f>
        <v>ОКС с ↑ ST</v>
      </c>
      <c r="C21" s="69"/>
      <c r="D21"/>
      <c r="E21" s="70"/>
      <c r="F21" s="70"/>
      <c r="G21" s="166" t="s">
        <v>386</v>
      </c>
      <c r="H21" s="167">
        <f>КАГ!H17</f>
        <v>7.1630000000000003</v>
      </c>
    </row>
    <row r="22" spans="1:8" ht="14.45" customHeight="1">
      <c r="A22" s="56" t="str">
        <f>КАГ!G18</f>
        <v>Доступ:</v>
      </c>
      <c r="B22" s="76" t="str">
        <f>КАГ!H18</f>
        <v>лучевой</v>
      </c>
      <c r="C22" s="69"/>
      <c r="D22" s="69"/>
      <c r="E22" s="69"/>
      <c r="F22" s="69"/>
      <c r="G22" s="183" t="str">
        <f>IF(B21=Вмешательства!F3,Вмешательства!F19,"")</f>
        <v>Реканализация:</v>
      </c>
      <c r="H22" s="184">
        <v>0.96388888888888891</v>
      </c>
    </row>
    <row r="23" spans="1:8" ht="14.45" customHeight="1">
      <c r="A23" s="64" t="s">
        <v>389</v>
      </c>
      <c r="B23" s="171" t="s">
        <v>388</v>
      </c>
      <c r="C23" s="161"/>
      <c r="D23" s="161"/>
      <c r="E23" s="161"/>
      <c r="F23" s="161"/>
      <c r="G23"/>
      <c r="H23" s="38"/>
    </row>
    <row r="24" spans="1:8" ht="14.45" customHeight="1">
      <c r="A24" s="182" t="s">
        <v>387</v>
      </c>
      <c r="B24" s="169"/>
      <c r="C24" s="169"/>
      <c r="D24" s="169"/>
      <c r="E24" s="169"/>
      <c r="F24" s="169"/>
      <c r="G24" s="169"/>
      <c r="H24" s="170"/>
    </row>
    <row r="25" spans="1:8" ht="14.45" customHeight="1">
      <c r="A25" s="253" t="s">
        <v>546</v>
      </c>
      <c r="B25" s="254"/>
      <c r="C25" s="254"/>
      <c r="D25" s="254"/>
      <c r="E25" s="254"/>
      <c r="F25" s="254"/>
      <c r="G25" s="254"/>
      <c r="H25" s="255"/>
    </row>
    <row r="26" spans="1:8" ht="14.45" customHeight="1">
      <c r="A26" s="256"/>
      <c r="B26" s="254"/>
      <c r="C26" s="254"/>
      <c r="D26" s="254"/>
      <c r="E26" s="254"/>
      <c r="F26" s="254"/>
      <c r="G26" s="254"/>
      <c r="H26" s="255"/>
    </row>
    <row r="27" spans="1:8" ht="14.45" customHeight="1">
      <c r="A27" s="256"/>
      <c r="B27" s="254"/>
      <c r="C27" s="254"/>
      <c r="D27" s="254"/>
      <c r="E27" s="254"/>
      <c r="F27" s="254"/>
      <c r="G27" s="254"/>
      <c r="H27" s="255"/>
    </row>
    <row r="28" spans="1:8" ht="14.45" customHeight="1">
      <c r="A28" s="256"/>
      <c r="B28" s="254"/>
      <c r="C28" s="254"/>
      <c r="D28" s="254"/>
      <c r="E28" s="254"/>
      <c r="F28" s="254"/>
      <c r="G28" s="254"/>
      <c r="H28" s="255"/>
    </row>
    <row r="29" spans="1:8" ht="14.45" customHeight="1">
      <c r="A29" s="256"/>
      <c r="B29" s="254"/>
      <c r="C29" s="254"/>
      <c r="D29" s="254"/>
      <c r="E29" s="254"/>
      <c r="F29" s="254"/>
      <c r="G29" s="254"/>
      <c r="H29" s="255"/>
    </row>
    <row r="30" spans="1:8" ht="14.45" customHeight="1">
      <c r="A30" s="256"/>
      <c r="B30" s="254"/>
      <c r="C30" s="254"/>
      <c r="D30" s="254"/>
      <c r="E30" s="254"/>
      <c r="F30" s="254"/>
      <c r="G30" s="254"/>
      <c r="H30" s="255"/>
    </row>
    <row r="31" spans="1:8" ht="14.45" customHeight="1">
      <c r="A31" s="256"/>
      <c r="B31" s="254"/>
      <c r="C31" s="254"/>
      <c r="D31" s="254"/>
      <c r="E31" s="254"/>
      <c r="F31" s="254"/>
      <c r="G31" s="254"/>
      <c r="H31" s="255"/>
    </row>
    <row r="32" spans="1:8" ht="14.45" customHeight="1">
      <c r="A32" s="256"/>
      <c r="B32" s="254"/>
      <c r="C32" s="254"/>
      <c r="D32" s="254"/>
      <c r="E32" s="254"/>
      <c r="F32" s="254"/>
      <c r="G32" s="254"/>
      <c r="H32" s="255"/>
    </row>
    <row r="33" spans="1:12" ht="14.45" customHeight="1">
      <c r="A33" s="256"/>
      <c r="B33" s="254"/>
      <c r="C33" s="254"/>
      <c r="D33" s="254"/>
      <c r="E33" s="254"/>
      <c r="F33" s="254"/>
      <c r="G33" s="254"/>
      <c r="H33" s="255"/>
    </row>
    <row r="34" spans="1:12" ht="14.45" customHeight="1">
      <c r="A34" s="256"/>
      <c r="B34" s="254"/>
      <c r="C34" s="254"/>
      <c r="D34" s="254"/>
      <c r="E34" s="254"/>
      <c r="F34" s="254"/>
      <c r="G34" s="254"/>
      <c r="H34" s="255"/>
    </row>
    <row r="35" spans="1:12" ht="14.45" customHeight="1">
      <c r="A35" s="256"/>
      <c r="B35" s="254"/>
      <c r="C35" s="254"/>
      <c r="D35" s="254"/>
      <c r="E35" s="254"/>
      <c r="F35" s="254"/>
      <c r="G35" s="254"/>
      <c r="H35" s="255"/>
    </row>
    <row r="36" spans="1:12" ht="14.45" customHeight="1">
      <c r="A36" s="256"/>
      <c r="B36" s="254"/>
      <c r="C36" s="254"/>
      <c r="D36" s="254"/>
      <c r="E36" s="254"/>
      <c r="F36" s="254"/>
      <c r="G36" s="254"/>
      <c r="H36" s="255"/>
    </row>
    <row r="37" spans="1:12" ht="14.45" customHeight="1">
      <c r="A37" s="256"/>
      <c r="B37" s="254"/>
      <c r="C37" s="254"/>
      <c r="D37" s="254"/>
      <c r="E37" s="254"/>
      <c r="F37" s="254"/>
      <c r="G37" s="254"/>
      <c r="H37" s="255"/>
    </row>
    <row r="38" spans="1:12" ht="14.45" customHeight="1">
      <c r="A38" s="176" t="s">
        <v>393</v>
      </c>
      <c r="B38" s="174"/>
      <c r="C38" s="175"/>
      <c r="D38" s="175"/>
      <c r="E38" s="185" t="str">
        <f>IF(A6=Вмешательства!D4,Вмешательства!V16,IF(A6=Вмешательства!D5,Вмешательства!V16,"----"))</f>
        <v>СТЕНТ/Ы</v>
      </c>
      <c r="F38" s="175"/>
      <c r="G38" s="178"/>
      <c r="H38"/>
    </row>
    <row r="39" spans="1:12" ht="15.75">
      <c r="A39" s="172" t="s">
        <v>390</v>
      </c>
      <c r="B39" s="69" t="s">
        <v>392</v>
      </c>
      <c r="C39" s="120"/>
      <c r="D39" s="121" t="s">
        <v>187</v>
      </c>
      <c r="E39" s="71"/>
      <c r="F39" s="71"/>
      <c r="G39" s="71"/>
      <c r="H39" s="72"/>
    </row>
    <row r="40" spans="1:12" ht="14.45" customHeight="1">
      <c r="A40" s="173" t="s">
        <v>391</v>
      </c>
      <c r="B40" s="177" t="s">
        <v>544</v>
      </c>
      <c r="C40" s="119"/>
      <c r="D40" s="249" t="s">
        <v>526</v>
      </c>
      <c r="E40" s="250"/>
      <c r="F40" s="250"/>
      <c r="G40" s="250"/>
      <c r="H40" s="251"/>
    </row>
    <row r="41" spans="1:12" ht="14.45" customHeight="1">
      <c r="A41" s="31"/>
      <c r="B41" s="27"/>
      <c r="C41" s="119"/>
      <c r="D41" s="250"/>
      <c r="E41" s="250"/>
      <c r="F41" s="250"/>
      <c r="G41" s="250"/>
      <c r="H41" s="251"/>
    </row>
    <row r="42" spans="1:12" ht="14.45" customHeight="1">
      <c r="A42" s="31"/>
      <c r="B42" s="27"/>
      <c r="C42" s="119"/>
      <c r="D42" s="250"/>
      <c r="E42" s="250"/>
      <c r="F42" s="250"/>
      <c r="G42" s="250"/>
      <c r="H42" s="251"/>
    </row>
    <row r="43" spans="1:12" ht="14.45" customHeight="1">
      <c r="A43" s="31"/>
      <c r="B43" s="27"/>
      <c r="C43" s="119"/>
      <c r="D43" s="250"/>
      <c r="E43" s="250"/>
      <c r="F43" s="250"/>
      <c r="G43" s="250"/>
      <c r="H43" s="251"/>
    </row>
    <row r="44" spans="1:12" ht="14.45" customHeight="1">
      <c r="A44" s="31"/>
      <c r="B44" s="27"/>
      <c r="C44" s="119"/>
      <c r="D44" s="250"/>
      <c r="E44" s="250"/>
      <c r="F44" s="250"/>
      <c r="G44" s="250"/>
      <c r="H44" s="251"/>
      <c r="L44" s="159"/>
    </row>
    <row r="45" spans="1:12" ht="14.45" customHeight="1">
      <c r="A45" s="31"/>
      <c r="B45" s="27"/>
      <c r="C45" s="119"/>
      <c r="D45" s="250"/>
      <c r="E45" s="250"/>
      <c r="F45" s="250"/>
      <c r="G45" s="250"/>
      <c r="H45" s="251"/>
    </row>
    <row r="46" spans="1:12" ht="14.45" customHeight="1">
      <c r="A46" s="31"/>
      <c r="B46" s="27"/>
      <c r="C46" s="119"/>
      <c r="D46" s="250"/>
      <c r="E46" s="250"/>
      <c r="F46" s="250"/>
      <c r="G46" s="250"/>
      <c r="H46" s="251"/>
    </row>
    <row r="47" spans="1:12" ht="14.45" customHeight="1">
      <c r="A47" s="37"/>
      <c r="B47"/>
      <c r="C47" s="119"/>
      <c r="D47" s="250"/>
      <c r="E47" s="250"/>
      <c r="F47" s="250"/>
      <c r="G47" s="250"/>
      <c r="H47" s="251"/>
    </row>
    <row r="48" spans="1:12" ht="14.45" customHeight="1">
      <c r="A48" s="37"/>
      <c r="B48"/>
      <c r="C48" s="119"/>
      <c r="D48" s="250"/>
      <c r="E48" s="250"/>
      <c r="F48" s="250"/>
      <c r="G48" s="250"/>
      <c r="H48" s="251"/>
    </row>
    <row r="49" spans="1:8" ht="14.45" customHeight="1">
      <c r="A49" s="37"/>
      <c r="B49"/>
      <c r="C49" s="119"/>
      <c r="D49" s="250"/>
      <c r="E49" s="250"/>
      <c r="F49" s="250"/>
      <c r="G49" s="250"/>
      <c r="H49" s="251"/>
    </row>
    <row r="50" spans="1:8">
      <c r="A50" s="61" t="s">
        <v>204</v>
      </c>
      <c r="B50" s="62" t="s">
        <v>544</v>
      </c>
      <c r="C50"/>
      <c r="D50"/>
      <c r="E50"/>
      <c r="F50"/>
      <c r="G50"/>
      <c r="H50" s="38"/>
    </row>
    <row r="51" spans="1:8">
      <c r="A51" s="64" t="s">
        <v>206</v>
      </c>
      <c r="B51" s="65" t="s">
        <v>524</v>
      </c>
      <c r="C51"/>
      <c r="D51"/>
      <c r="E51"/>
      <c r="F51"/>
      <c r="G51" s="73" t="str">
        <f>$G$13</f>
        <v>Щербаков А.С.</v>
      </c>
      <c r="H51" s="63"/>
    </row>
    <row r="52" spans="1:8">
      <c r="A52" s="235" t="s">
        <v>369</v>
      </c>
      <c r="B52" s="236"/>
      <c r="C52" s="236"/>
      <c r="D52" s="236"/>
      <c r="E52" s="236"/>
      <c r="F52" s="237"/>
      <c r="G52"/>
      <c r="H52" s="38"/>
    </row>
    <row r="53" spans="1:8" ht="15" customHeight="1">
      <c r="A53" s="238"/>
      <c r="B53" s="239"/>
      <c r="C53" s="239"/>
      <c r="D53" s="239"/>
      <c r="E53" s="239"/>
      <c r="F53" s="240"/>
      <c r="G53" s="73" t="str">
        <f>IF(ISBLANK(H13),"",H13)</f>
        <v/>
      </c>
      <c r="H53" s="63"/>
    </row>
    <row r="54" spans="1:8">
      <c r="A54" s="241"/>
      <c r="B54" s="242"/>
      <c r="C54" s="242"/>
      <c r="D54" s="242"/>
      <c r="E54" s="242"/>
      <c r="F54" s="243"/>
      <c r="G54" s="30"/>
      <c r="H54" s="40"/>
    </row>
    <row r="55" spans="1:8">
      <c r="A55"/>
      <c r="B55"/>
      <c r="C55"/>
      <c r="D55"/>
      <c r="E55"/>
      <c r="F55"/>
      <c r="G55"/>
      <c r="H55"/>
    </row>
    <row r="56" spans="1:8"/>
    <row r="57" spans="1:8"/>
    <row r="58" spans="1:8"/>
    <row r="59" spans="1:8"/>
    <row r="60" spans="1:8" ht="18" hidden="1" customHeight="1"/>
  </sheetData>
  <sheetProtection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8" customWidth="1"/>
    <col min="6" max="16384" width="9.140625" hidden="1"/>
  </cols>
  <sheetData>
    <row r="1" spans="1:1">
      <c r="A1" s="3" t="str">
        <f>КАГ!A6</f>
        <v>КОРОНАРОГРАФИЯ</v>
      </c>
    </row>
    <row r="2" spans="1:1"/>
    <row r="3" spans="1:1" ht="354" customHeight="1">
      <c r="A3" s="209" t="str">
        <f>КАГ!A18&amp;"   "&amp;КАГ!B18&amp;CHAR(10)&amp;CHAR(10)&amp;КАГ!A20&amp;"   "&amp;КАГ!B20&amp;CHAR(10)&amp;CHAR(10)&amp;КАГ!A22&amp;"   "&amp;КАГ!B22&amp;CHAR(10)&amp;CHAR(10)&amp;КАГ!A27&amp;"   "&amp;КАГ!B27&amp;CHAR(10)&amp;CHAR(10)&amp;КАГ!A32&amp;"   "&amp;КАГ!B32</f>
        <v>Тип:   Правый
Ствол ЛКА:   проходим, контуры ровные
Бассейн ПНА:   острая тотальная оккюзия на уровне проксимального сегмента, субтотальный стеноз устья крупной ДВ, ХРОНИЧЕСКАЯ ТОТАЛЬНАЯ ОККЮЗИЯ СРЕДНЕГО СЕГМЕНТА .  Антеградный кровоток по крупной ДВ и крупной значимой СВ - TIMI 0. TTG2, слабые коллатерали из ПКА в дистальный сегмент ПНА (ПКА- артерия донор). 
Бассейн  ОА:   стеноз проксимального сегмента 30%, стенозы среднего сегмента 50%, стеноз дистального сегмента 70%. Стеноз прокс/3 ВТК 50%.  Антеградный кровоток TIMI III.
Бассейн ПКА:   пролонгированный значимый стеноз проксимального сегмента более 70%, стенозы среднего сегмента 30%, стеноз дистального сегмента с пристеночным тромбом оккюзирующий просвет до 90%, субтотальный стеноз зоны "креста" ПКА.  Антеградный кровоток TIMI I. TTG2, слабые коллатерали из бассейна ОА в дистальный сегмента  ЗМЖВ.</v>
      </c>
    </row>
    <row r="4" spans="1:1">
      <c r="A4" s="208"/>
    </row>
    <row r="5" spans="1:1">
      <c r="A5" s="208"/>
    </row>
    <row r="6" spans="1:1">
      <c r="A6" s="208"/>
    </row>
    <row r="7" spans="1:1">
      <c r="A7" s="208"/>
    </row>
    <row r="8" spans="1:1">
      <c r="A8" s="208"/>
    </row>
    <row r="9" spans="1:1">
      <c r="A9" s="208"/>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B19" sqref="B19"/>
    </sheetView>
  </sheetViews>
  <sheetFormatPr defaultColWidth="0" defaultRowHeight="15" zeroHeight="1"/>
  <cols>
    <col min="1" max="1" width="18.7109375" style="212" customWidth="1"/>
    <col min="2" max="2" width="45.7109375" style="212" customWidth="1"/>
    <col min="3" max="3" width="15.7109375" style="212" customWidth="1"/>
    <col min="4" max="4" width="20.7109375" style="212" customWidth="1"/>
    <col min="5" max="5" width="7.7109375" style="212" bestFit="1" customWidth="1"/>
    <col min="6" max="6" width="10.7109375" style="212" bestFit="1" customWidth="1"/>
    <col min="7" max="8" width="10.7109375" style="212" hidden="1" customWidth="1"/>
    <col min="9" max="13" width="11.7109375" style="212" hidden="1" customWidth="1"/>
    <col min="14" max="16384" width="9.140625" style="212" hidden="1"/>
  </cols>
  <sheetData>
    <row r="1" spans="1:4">
      <c r="A1" s="26"/>
      <c r="B1" s="111"/>
      <c r="C1" s="111"/>
      <c r="D1" s="112"/>
    </row>
    <row r="2" spans="1:4" ht="19.899999999999999" customHeight="1">
      <c r="A2" s="95" t="s">
        <v>98</v>
      </c>
      <c r="B2" s="96">
        <f>$D$10</f>
        <v>45693</v>
      </c>
      <c r="C2" s="151" t="str">
        <f>IF(ЧКВ!B21=Вмешательства!F13,Вмешательства!F22,Вмешательства!F20)</f>
        <v>ОМС</v>
      </c>
      <c r="D2" s="97" t="s">
        <v>99</v>
      </c>
    </row>
    <row r="3" spans="1:4" ht="20.45" customHeight="1">
      <c r="A3" s="98" t="s">
        <v>97</v>
      </c>
      <c r="B3" s="99"/>
      <c r="C3"/>
      <c r="D3" s="38"/>
    </row>
    <row r="4" spans="1:4" ht="16.5" thickBot="1">
      <c r="A4" s="146" t="s">
        <v>195</v>
      </c>
      <c r="B4" s="147" t="s">
        <v>105</v>
      </c>
      <c r="C4" s="148" t="s">
        <v>15</v>
      </c>
      <c r="D4" s="203" t="str">
        <f>КАГ!$B$11</f>
        <v>Одинцов Н.Г.</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2" t="str">
        <f>IF(ISBLANK(КАГ!A6),"",КАГ!A6)</f>
        <v>КОРОНАРОГРАФИЯ</v>
      </c>
      <c r="C5" s="130" t="s">
        <v>8</v>
      </c>
      <c r="D5" s="101">
        <f>КАГ!$B$12</f>
        <v>18972</v>
      </c>
    </row>
    <row r="6" spans="1:4">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A16.12.028.003</v>
      </c>
      <c r="B6" s="133" t="str">
        <f>ЧКВ!A6</f>
        <v>Стентирование коронарной артерии</v>
      </c>
      <c r="C6" s="130" t="s">
        <v>10</v>
      </c>
      <c r="D6" s="102">
        <f>DATEDIF(D5,D10,"y")</f>
        <v>73</v>
      </c>
    </row>
    <row r="7" spans="1:4">
      <c r="A7" s="37"/>
      <c r="B7"/>
      <c r="C7" s="100" t="s">
        <v>12</v>
      </c>
      <c r="D7" s="102">
        <f>КАГ!$B$14</f>
        <v>3444</v>
      </c>
    </row>
    <row r="8" spans="1:4">
      <c r="A8" s="193" t="str">
        <f>ЧКВ!$A$9</f>
        <v xml:space="preserve">Код модели:  </v>
      </c>
      <c r="B8" s="103"/>
      <c r="C8" s="100" t="s">
        <v>133</v>
      </c>
      <c r="D8" s="102">
        <f>КАГ!$B$15</f>
        <v>35</v>
      </c>
    </row>
    <row r="9" spans="1:4">
      <c r="A9" s="193" t="str">
        <f>ЧКВ!$A$10</f>
        <v xml:space="preserve">Код метода:  </v>
      </c>
      <c r="B9"/>
      <c r="C9" s="104" t="s">
        <v>106</v>
      </c>
      <c r="D9" s="102" t="str">
        <f>КАГ!$B$16</f>
        <v>ОКС с ↑ ST</v>
      </c>
    </row>
    <row r="10" spans="1:4">
      <c r="A10" s="194"/>
      <c r="B10" s="30"/>
      <c r="C10" s="149" t="s">
        <v>13</v>
      </c>
      <c r="D10" s="150">
        <f>КАГ!$B$8</f>
        <v>45693</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2" t="s">
        <v>305</v>
      </c>
      <c r="C13" s="186"/>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3" t="s">
        <v>328</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5" s="153" t="s">
        <v>326</v>
      </c>
      <c r="C15" s="134"/>
      <c r="D15" s="139">
        <v>1</v>
      </c>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53" t="s">
        <v>532</v>
      </c>
      <c r="C16" s="134"/>
      <c r="D16" s="139">
        <v>2</v>
      </c>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3" t="s">
        <v>373</v>
      </c>
      <c r="C17" s="134" t="s">
        <v>404</v>
      </c>
      <c r="D17" s="139">
        <v>1</v>
      </c>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3" t="s">
        <v>512</v>
      </c>
      <c r="C18" s="134" t="s">
        <v>537</v>
      </c>
      <c r="D18" s="139">
        <v>1</v>
      </c>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9" s="153" t="s">
        <v>368</v>
      </c>
      <c r="C19" s="181"/>
      <c r="D19" s="139">
        <v>1</v>
      </c>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4" t="s">
        <v>516</v>
      </c>
      <c r="C20" s="134" t="s">
        <v>538</v>
      </c>
      <c r="D20" s="139">
        <v>1</v>
      </c>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1" s="153" t="s">
        <v>516</v>
      </c>
      <c r="C21" s="134" t="s">
        <v>539</v>
      </c>
      <c r="D21" s="139">
        <v>1</v>
      </c>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2" s="153" t="s">
        <v>516</v>
      </c>
      <c r="C22" s="134" t="s">
        <v>540</v>
      </c>
      <c r="D22" s="141">
        <v>1</v>
      </c>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3" s="153" t="s">
        <v>322</v>
      </c>
      <c r="C23" s="134" t="s">
        <v>468</v>
      </c>
      <c r="D23" s="141">
        <v>1</v>
      </c>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c>
      <c r="B24" s="153"/>
      <c r="C24" s="134"/>
      <c r="D24" s="141"/>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c>
      <c r="B25" s="155"/>
      <c r="C25" s="144"/>
      <c r="D25" s="145"/>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3"/>
    </row>
    <row r="42" spans="1:4"/>
    <row r="43" spans="1:4"/>
    <row r="44" spans="1:4"/>
    <row r="45" spans="1:4"/>
    <row r="46" spans="1:4"/>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90" zoomScaleNormal="90" workbookViewId="0">
      <pane ySplit="1" topLeftCell="A2" activePane="bottomLeft" state="frozen"/>
      <selection pane="bottomLeft" activeCell="F26" sqref="F26"/>
    </sheetView>
  </sheetViews>
  <sheetFormatPr defaultRowHeight="15" outlineLevelCol="1"/>
  <cols>
    <col min="1" max="1" width="5" customWidth="1"/>
    <col min="2" max="2" width="13.28515625" hidden="1" customWidth="1"/>
    <col min="3" max="3" width="25" customWidth="1"/>
    <col min="4" max="4" width="56.7109375" customWidth="1"/>
    <col min="6" max="6" width="33.85546875"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f>ROW(Вмешательства[[#This Row],[№]])-1</f>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f>ROW(Вмешательства[[#This Row],[№]])-1</f>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f>ROW(Вмешательства[[#This Row],[№]])-1</f>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c r="A5" s="8">
        <f>ROW(Вмешательства[[#This Row],[№]])-1</f>
        <v>4</v>
      </c>
      <c r="B5" s="2"/>
      <c r="C5" s="8" t="s">
        <v>82</v>
      </c>
      <c r="D5" s="5" t="s">
        <v>242</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f>ROW(Вмешательства[[#This Row],[№]])-1</f>
        <v>5</v>
      </c>
      <c r="B6" s="2" t="s">
        <v>36</v>
      </c>
      <c r="C6" s="8" t="s">
        <v>37</v>
      </c>
      <c r="D6" s="5" t="s">
        <v>398</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ht="30">
      <c r="A7" s="8">
        <f>ROW(Вмешательства[[#This Row],[№]])-1</f>
        <v>6</v>
      </c>
      <c r="B7" s="2"/>
      <c r="C7" s="8" t="s">
        <v>229</v>
      </c>
      <c r="D7" s="5" t="s">
        <v>132</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f>ROW(Вмешательства[[#This Row],[№]])-1</f>
        <v>7</v>
      </c>
      <c r="B8" s="2"/>
      <c r="C8" s="8" t="s">
        <v>80</v>
      </c>
      <c r="D8" s="5" t="s">
        <v>247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f>ROW(Вмешательства[[#This Row],[№]])-1</f>
        <v>8</v>
      </c>
      <c r="B9" s="2" t="s">
        <v>35</v>
      </c>
      <c r="C9" s="8" t="s">
        <v>86</v>
      </c>
      <c r="D9" s="5" t="s">
        <v>87</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f>ROW(Вмешательства[[#This Row],[№]])-1</f>
        <v>9</v>
      </c>
      <c r="B10" s="2"/>
      <c r="C10" s="8" t="s">
        <v>230</v>
      </c>
      <c r="D10" s="5" t="s">
        <v>139</v>
      </c>
      <c r="G10" s="3"/>
      <c r="H10" s="11"/>
      <c r="I10" s="11"/>
      <c r="J10" s="3"/>
      <c r="K10" s="3"/>
      <c r="L10" s="3"/>
      <c r="M10" s="3"/>
      <c r="N10" s="11"/>
      <c r="O10" s="11"/>
      <c r="P10" s="11"/>
      <c r="Q10" s="11"/>
      <c r="R10" s="11"/>
      <c r="S10" s="11"/>
      <c r="T10" s="11"/>
      <c r="V10" t="s">
        <v>224</v>
      </c>
    </row>
    <row r="11" spans="1:23">
      <c r="A11" s="8">
        <f>ROW(Вмешательства[[#This Row],[№]])-1</f>
        <v>10</v>
      </c>
      <c r="B11" s="2" t="s">
        <v>25</v>
      </c>
      <c r="C11" s="8" t="s">
        <v>231</v>
      </c>
      <c r="D11" s="5" t="s">
        <v>26</v>
      </c>
      <c r="G11" s="3"/>
      <c r="H11" s="11"/>
      <c r="I11" s="11"/>
      <c r="J11" s="11"/>
      <c r="K11" s="11"/>
      <c r="L11" s="11"/>
      <c r="M11" s="11"/>
      <c r="N11" s="11"/>
      <c r="O11" s="11"/>
      <c r="P11" s="11"/>
      <c r="Q11" s="11"/>
      <c r="R11" s="11"/>
      <c r="S11" s="11"/>
      <c r="T11" s="11"/>
      <c r="V11" t="s">
        <v>216</v>
      </c>
      <c r="W11" s="11"/>
    </row>
    <row r="12" spans="1:23">
      <c r="A12" s="8">
        <f>ROW(Вмешательства[[#This Row],[№]])-1</f>
        <v>11</v>
      </c>
      <c r="B12" s="2" t="s">
        <v>19</v>
      </c>
      <c r="C12" s="8" t="s">
        <v>232</v>
      </c>
      <c r="D12" s="5" t="s">
        <v>20</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f>ROW(Вмешательства[[#This Row],[№]])-1</f>
        <v>12</v>
      </c>
      <c r="B13" s="2" t="s">
        <v>21</v>
      </c>
      <c r="C13" s="8" t="s">
        <v>233</v>
      </c>
      <c r="D13" s="5" t="s">
        <v>22</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f>ROW(Вмешательства[[#This Row],[№]])-1</f>
        <v>13</v>
      </c>
      <c r="B14" s="2" t="s">
        <v>23</v>
      </c>
      <c r="C14" s="8" t="s">
        <v>234</v>
      </c>
      <c r="D14" s="5" t="s">
        <v>24</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f>ROW(Вмешательства[[#This Row],[№]])-1</f>
        <v>14</v>
      </c>
      <c r="B15" s="2" t="s">
        <v>27</v>
      </c>
      <c r="C15" s="8" t="s">
        <v>235</v>
      </c>
      <c r="D15" s="5" t="s">
        <v>28</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f>ROW(Вмешательства[[#This Row],[№]])-1</f>
        <v>15</v>
      </c>
      <c r="B16" s="2" t="s">
        <v>29</v>
      </c>
      <c r="C16" s="8" t="s">
        <v>236</v>
      </c>
      <c r="D16" s="5" t="s">
        <v>30</v>
      </c>
      <c r="V16" t="s">
        <v>394</v>
      </c>
    </row>
    <row r="17" spans="1:23">
      <c r="A17" s="8">
        <f>ROW(Вмешательства[[#This Row],[№]])-1</f>
        <v>16</v>
      </c>
      <c r="B17" s="2" t="s">
        <v>31</v>
      </c>
      <c r="C17" s="8" t="s">
        <v>237</v>
      </c>
      <c r="D17" s="5" t="s">
        <v>32</v>
      </c>
      <c r="F17" t="s">
        <v>486</v>
      </c>
      <c r="V17" t="s">
        <v>395</v>
      </c>
    </row>
    <row r="18" spans="1:23">
      <c r="A18" s="8">
        <f>ROW(Вмешательства[[#This Row],[№]])-1</f>
        <v>17</v>
      </c>
      <c r="B18" s="2" t="s">
        <v>33</v>
      </c>
      <c r="C18" s="8" t="s">
        <v>238</v>
      </c>
      <c r="D18" s="5" t="s">
        <v>34</v>
      </c>
      <c r="F18" t="s">
        <v>215</v>
      </c>
    </row>
    <row r="19" spans="1:23" ht="30">
      <c r="A19" s="8">
        <f>ROW(Вмешательства[[#This Row],[№]])-1</f>
        <v>18</v>
      </c>
      <c r="B19" s="2" t="s">
        <v>40</v>
      </c>
      <c r="C19" s="8" t="s">
        <v>41</v>
      </c>
      <c r="D19" s="5" t="s">
        <v>42</v>
      </c>
      <c r="F19" t="s">
        <v>207</v>
      </c>
    </row>
    <row r="20" spans="1:23" ht="30">
      <c r="A20" s="8">
        <f>ROW(Вмешательства[[#This Row],[№]])-1</f>
        <v>19</v>
      </c>
      <c r="B20" s="2" t="s">
        <v>43</v>
      </c>
      <c r="C20" s="8" t="s">
        <v>44</v>
      </c>
      <c r="D20" s="5" t="s">
        <v>45</v>
      </c>
      <c r="F20" t="s">
        <v>304</v>
      </c>
      <c r="J20" s="11"/>
    </row>
    <row r="21" spans="1:23" ht="30">
      <c r="A21" s="8">
        <f>ROW(Вмешательства[[#This Row],[№]])-1</f>
        <v>20</v>
      </c>
      <c r="B21" s="2" t="s">
        <v>46</v>
      </c>
      <c r="C21" s="8" t="s">
        <v>47</v>
      </c>
      <c r="D21" s="5" t="s">
        <v>48</v>
      </c>
      <c r="F21" t="s">
        <v>335</v>
      </c>
      <c r="J21" s="11"/>
    </row>
    <row r="22" spans="1:23" ht="30">
      <c r="A22" s="8">
        <f>ROW(Вмешательства[[#This Row],[№]])-1</f>
        <v>21</v>
      </c>
      <c r="B22" s="2" t="s">
        <v>49</v>
      </c>
      <c r="C22" s="8" t="s">
        <v>50</v>
      </c>
      <c r="D22" s="5" t="s">
        <v>51</v>
      </c>
      <c r="F22" t="s">
        <v>336</v>
      </c>
      <c r="J22" s="11"/>
      <c r="U22" s="2"/>
    </row>
    <row r="23" spans="1:23" ht="30">
      <c r="A23" s="8">
        <f>ROW(Вмешательства[[#This Row],[№]])-1</f>
        <v>22</v>
      </c>
      <c r="B23" s="2" t="s">
        <v>52</v>
      </c>
      <c r="C23" s="8" t="s">
        <v>53</v>
      </c>
      <c r="D23" s="5" t="s">
        <v>54</v>
      </c>
      <c r="F23" t="s">
        <v>346</v>
      </c>
      <c r="J23" s="11"/>
      <c r="U23" s="2"/>
    </row>
    <row r="24" spans="1:23">
      <c r="A24" s="8">
        <f>ROW(Вмешательства[[#This Row],[№]])-1</f>
        <v>23</v>
      </c>
      <c r="B24" s="2" t="s">
        <v>55</v>
      </c>
      <c r="C24" s="8" t="s">
        <v>56</v>
      </c>
      <c r="D24" s="5" t="s">
        <v>57</v>
      </c>
      <c r="F24" t="s">
        <v>501</v>
      </c>
      <c r="H24" s="10"/>
      <c r="K24" s="2"/>
      <c r="U24" s="2"/>
      <c r="W24" s="11"/>
    </row>
    <row r="25" spans="1:23">
      <c r="A25" s="8">
        <f>ROW(Вмешательства[[#This Row],[№]])-1</f>
        <v>24</v>
      </c>
      <c r="B25" s="2" t="s">
        <v>58</v>
      </c>
      <c r="C25" s="8" t="s">
        <v>59</v>
      </c>
      <c r="D25" s="5" t="s">
        <v>60</v>
      </c>
      <c r="K25" s="2"/>
    </row>
    <row r="26" spans="1:23" ht="30">
      <c r="A26" s="8">
        <f>ROW(Вмешательства[[#This Row],[№]])-1</f>
        <v>25</v>
      </c>
      <c r="B26" s="2" t="s">
        <v>61</v>
      </c>
      <c r="C26" s="8" t="s">
        <v>62</v>
      </c>
      <c r="D26" s="5" t="s">
        <v>63</v>
      </c>
      <c r="H26" s="10"/>
      <c r="K26" s="3"/>
      <c r="W26" s="10"/>
    </row>
    <row r="27" spans="1:23" ht="45">
      <c r="A27" s="8">
        <f>ROW(Вмешательства[[#This Row],[№]])-1</f>
        <v>26</v>
      </c>
      <c r="B27" s="2" t="s">
        <v>64</v>
      </c>
      <c r="C27" s="8" t="s">
        <v>65</v>
      </c>
      <c r="D27" s="5" t="s">
        <v>66</v>
      </c>
      <c r="H27" s="10"/>
      <c r="W27" s="10"/>
    </row>
    <row r="28" spans="1:23">
      <c r="A28" s="8">
        <f>ROW(Вмешательства[[#This Row],[№]])-1</f>
        <v>27</v>
      </c>
      <c r="B28" s="2" t="s">
        <v>67</v>
      </c>
      <c r="C28" s="77" t="s">
        <v>244</v>
      </c>
      <c r="D28" s="5" t="s">
        <v>245</v>
      </c>
      <c r="H28" s="10"/>
      <c r="W28" s="10"/>
    </row>
    <row r="29" spans="1:23" ht="45">
      <c r="A29" s="8">
        <f>ROW(Вмешательства[[#This Row],[№]])-1</f>
        <v>28</v>
      </c>
      <c r="B29" s="2" t="s">
        <v>68</v>
      </c>
      <c r="C29" s="77" t="s">
        <v>69</v>
      </c>
      <c r="D29" s="5" t="s">
        <v>70</v>
      </c>
      <c r="H29" s="10"/>
      <c r="W29" s="10"/>
    </row>
    <row r="30" spans="1:23" ht="30">
      <c r="A30" s="8">
        <f>ROW(Вмешательства[[#This Row],[№]])-1</f>
        <v>29</v>
      </c>
      <c r="B30" s="2" t="s">
        <v>71</v>
      </c>
      <c r="C30" s="77" t="s">
        <v>72</v>
      </c>
      <c r="D30" s="5" t="s">
        <v>73</v>
      </c>
      <c r="H30" s="10"/>
      <c r="W30" s="10"/>
    </row>
    <row r="31" spans="1:23">
      <c r="A31" s="8">
        <f>ROW(Вмешательства[[#This Row],[№]])-1</f>
        <v>30</v>
      </c>
      <c r="B31" s="2" t="s">
        <v>74</v>
      </c>
      <c r="C31" s="77" t="s">
        <v>240</v>
      </c>
      <c r="D31" s="5" t="s">
        <v>75</v>
      </c>
      <c r="H31" s="10"/>
      <c r="W31" s="10"/>
    </row>
    <row r="32" spans="1:23">
      <c r="A32" s="8">
        <f>ROW(Вмешательства[[#This Row],[№]])-1</f>
        <v>31</v>
      </c>
      <c r="B32" s="2" t="s">
        <v>76</v>
      </c>
      <c r="C32" s="77" t="s">
        <v>239</v>
      </c>
      <c r="D32" s="5" t="s">
        <v>77</v>
      </c>
      <c r="H32" s="10"/>
      <c r="W32" s="10"/>
    </row>
    <row r="33" spans="1:23">
      <c r="A33" s="8">
        <f>ROW(Вмешательства[[#This Row],[№]])-1</f>
        <v>32</v>
      </c>
      <c r="B33" s="2" t="s">
        <v>78</v>
      </c>
      <c r="C33" s="77" t="s">
        <v>241</v>
      </c>
      <c r="D33" s="5" t="s">
        <v>79</v>
      </c>
      <c r="H33" s="10"/>
      <c r="I33" s="10"/>
      <c r="W33" s="10"/>
    </row>
    <row r="34" spans="1:23">
      <c r="A34" s="8">
        <f>ROW(Вмешательства[[#This Row],[№]])-1</f>
        <v>33</v>
      </c>
      <c r="B34" s="2" t="s">
        <v>81</v>
      </c>
      <c r="C34" s="77" t="s">
        <v>82</v>
      </c>
      <c r="D34" s="5" t="s">
        <v>242</v>
      </c>
      <c r="H34" s="10"/>
      <c r="W34" s="10"/>
    </row>
    <row r="35" spans="1:23">
      <c r="A35" s="8">
        <f>ROW(Вмешательства[[#This Row],[№]])-1</f>
        <v>34</v>
      </c>
      <c r="B35" s="2" t="s">
        <v>83</v>
      </c>
      <c r="C35" s="77" t="s">
        <v>84</v>
      </c>
      <c r="D35" s="5" t="s">
        <v>243</v>
      </c>
      <c r="H35" s="10"/>
      <c r="W35" s="10"/>
    </row>
    <row r="36" spans="1:23" ht="34.15" customHeight="1">
      <c r="A36" s="8">
        <f>ROW(Вмешательства[[#This Row],[№]])-1</f>
        <v>35</v>
      </c>
      <c r="B36" s="2"/>
      <c r="C36" s="77" t="s">
        <v>246</v>
      </c>
      <c r="D36" s="5" t="s">
        <v>88</v>
      </c>
      <c r="F36" s="10"/>
      <c r="H36" s="10"/>
      <c r="W36" s="10"/>
    </row>
    <row r="37" spans="1:23">
      <c r="A37" s="8"/>
      <c r="B37" s="2"/>
      <c r="C37" s="8"/>
      <c r="D37" s="5"/>
      <c r="G37" s="10"/>
      <c r="H37" s="10"/>
    </row>
    <row r="38" spans="1:23">
      <c r="A38" s="8"/>
      <c r="B38" s="2"/>
      <c r="C38" s="8"/>
      <c r="D38" s="5"/>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20" zoomScaleNormal="100" workbookViewId="0">
      <selection activeCell="AM53" sqref="AM53"/>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hidden="1" customWidth="1" outlineLevel="1"/>
    <col min="11" max="17" width="4.42578125" style="115" hidden="1" customWidth="1" outlineLevel="1"/>
    <col min="18" max="30" width="4.42578125" style="114"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8"/>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0</v>
      </c>
      <c r="H2" s="115">
        <f>IF(ISNUMBER(SEARCH('Карта учёта'!$B$16,Расходка[[#This Row],[Наименование расходного материала]])),MAX($H$1:H1)+1,0)</f>
        <v>0</v>
      </c>
      <c r="I2" s="115">
        <f>IF(ISNUMBER(SEARCH('Карта учёта'!$B$17,Расходка[[#This Row],[Наименование расходного материала]])),MAX($I$1:I1)+1,0)</f>
        <v>0</v>
      </c>
      <c r="J2" s="115">
        <f>IF(ISNUMBER(SEARCH('Карта учёта'!$B$18,Расходка[[#This Row],[Наименование расходного материала]])),MAX($J$1:J1)+1,0)</f>
        <v>0</v>
      </c>
      <c r="K2" s="115">
        <f>IF(ISNUMBER(SEARCH('Карта учёта'!$B$19,Расходка[[#This Row],[Наименование расходного материала]])),MAX($K$1:K1)+1,0)</f>
        <v>0</v>
      </c>
      <c r="L2" s="115">
        <f>IF(ISNUMBER(SEARCH('Карта учёта'!$B$20,Расходка[[#This Row],[Наименование расходного материала]])),MAX($L$1:L1)+1,0)</f>
        <v>0</v>
      </c>
      <c r="M2" s="115">
        <f>IF(ISNUMBER(SEARCH('Карта учёта'!$B$21,Расходка[[#This Row],[Наименование расходного материала]])),MAX($M$1:M1)+1,0)</f>
        <v>0</v>
      </c>
      <c r="N2" s="2">
        <f>IF(ISNUMBER(SEARCH('Карта учёта'!$B$22,Расходка[[#This Row],[Наименование расходного материала]])),MAX($N$1:N1)+1,0)</f>
        <v>0</v>
      </c>
      <c r="O2" s="115">
        <f>IF(ISNUMBER(SEARCH('Карта учёта'!$B$23,Расходка[[#This Row],[Наименование расходного материала]])),MAX($O$1:O1)+1,0)</f>
        <v>0</v>
      </c>
      <c r="P2" s="115">
        <f>IF(ISNUMBER(SEARCH('Карта учёта'!$B$24,Расходка[[#This Row],[Наименование расходного материала]])),MAX($P$1:P1)+1,0)</f>
        <v>1</v>
      </c>
      <c r="Q2" s="115">
        <f>IF(ISNUMBER(SEARCH('Карта учёта'!$B$25,Расходка[[#This Row],[Наименование расходного материала]])),MAX($Q$1:Q1)+1,0)</f>
        <v>1</v>
      </c>
      <c r="R2" s="114" t="str">
        <f>IFERROR(INDEX(Расходка[Наименование расходного материала],MATCH(Расходка[[#This Row],[№]],Поиск_расходки[Индекс1],0)),"")</f>
        <v>Индефлятор</v>
      </c>
      <c r="S2" s="114" t="str">
        <f>IFERROR(INDEX(Расходка[Наименование расходного материала],MATCH(Расходка[[#This Row],[№]],Поиск_расходки[Индекс2],0)),"")</f>
        <v>Launcher 6F JR 3.5</v>
      </c>
      <c r="T2" s="114" t="str">
        <f>IFERROR(INDEX(Расходка[Наименование расходного материала],MATCH(Расходка[[#This Row],[№]],Поиск_расходки[Индекс3],0)),"")</f>
        <v>Launcher 6F JL 3.5</v>
      </c>
      <c r="U2" s="114" t="str">
        <f>IFERROR(INDEX(Расходка[Наименование расходного материала],MATCH(Расходка[[#This Row],[№]],Поиск_расходки[Индекс4],0)),"")</f>
        <v>Shunmei 0,7</v>
      </c>
      <c r="V2" s="114" t="str">
        <f>IFERROR(INDEX(Расходка[Наименование расходного материала],MATCH(Расходка[[#This Row],[№]],Поиск_расходки[Индекс5],0)),"")</f>
        <v>Колибри</v>
      </c>
      <c r="W2" s="114" t="str">
        <f>IFERROR(INDEX(Расходка[Наименование расходного материала],MATCH(Расходка[[#This Row],[№]],Поиск_расходки[Индекс6],0)),"")</f>
        <v>NC АКСИОМА</v>
      </c>
      <c r="X2" s="114" t="str">
        <f>IFERROR(INDEX(Расходка[Наименование расходного материала],MATCH(Расходка[[#This Row],[№]],Поиск_расходки[Индекс7],0)),"")</f>
        <v xml:space="preserve">Medtronic Export Advance </v>
      </c>
      <c r="Y2" s="114" t="str">
        <f>IFERROR(INDEX(Расходка[Наименование расходного материала],MATCH(Расходка[[#This Row],[№]],Поиск_расходки[Индекс8],0)),"")</f>
        <v>Meril Evermine50™</v>
      </c>
      <c r="Z2" s="114" t="str">
        <f>IFERROR(INDEX(Расходка[Наименование расходного материала],MATCH(Расходка[[#This Row],[№]],Поиск_расходки[Индекс9],0)),"")</f>
        <v>Meril Evermine50™</v>
      </c>
      <c r="AA2" s="114" t="str">
        <f>IFERROR(INDEX(Расходка[Наименование расходного материала],MATCH(Расходка[[#This Row],[№]],Поиск_расходки[Индекс10],0)),"")</f>
        <v>Meril Evermine50™</v>
      </c>
      <c r="AB2" s="114" t="str">
        <f>IFERROR(INDEX(Расходка[Наименование расходного материала],MATCH(Расходка[[#This Row],[№]],Поиск_расходки[Индекс11],0)),"")</f>
        <v>DES, Resolute Integtity</v>
      </c>
      <c r="AC2" s="114" t="str">
        <f>IFERROR(INDEX(Расходка[Наименование расходного материала],MATCH(Расходка[[#This Row],[№]],Поиск_расходки[Индекс12],0)),"")</f>
        <v>Hunter® 6F</v>
      </c>
      <c r="AD2" s="114"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206">
        <v>155800</v>
      </c>
      <c r="AN2" s="207" t="s">
        <v>308</v>
      </c>
      <c r="AO2" s="208"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0</v>
      </c>
      <c r="H3" s="115">
        <f>IF(ISNUMBER(SEARCH('Карта учёта'!$B$16,Расходка[[#This Row],[Наименование расходного материала]])),MAX($H$1:H2)+1,0)</f>
        <v>0</v>
      </c>
      <c r="I3" s="115">
        <f>IF(ISNUMBER(SEARCH('Карта учёта'!$B$17,Расходка[[#This Row],[Наименование расходного материала]])),MAX($I$1:I2)+1,0)</f>
        <v>0</v>
      </c>
      <c r="J3" s="115">
        <f>IF(ISNUMBER(SEARCH('Карта учёта'!$B$18,Расходка[[#This Row],[Наименование расходного материала]])),MAX($J$1:J2)+1,0)</f>
        <v>0</v>
      </c>
      <c r="K3" s="115">
        <f>IF(ISNUMBER(SEARCH('Карта учёта'!$B$19,Расходка[[#This Row],[Наименование расходного материала]])),MAX($K$1:K2)+1,0)</f>
        <v>1</v>
      </c>
      <c r="L3" s="115">
        <f>IF(ISNUMBER(SEARCH('Карта учёта'!$B$20,Расходка[[#This Row],[Наименование расходного материала]])),MAX($L$1:L2)+1,0)</f>
        <v>0</v>
      </c>
      <c r="M3" s="115">
        <f>IF(ISNUMBER(SEARCH('Карта учёта'!$B$21,Расходка[[#This Row],[Наименование расходного материала]])),MAX($M$1:M2)+1,0)</f>
        <v>0</v>
      </c>
      <c r="N3" s="115">
        <f>IF(ISNUMBER(SEARCH('Карта учёта'!$B$22,Расходка[[#This Row],[Наименование расходного материала]])),MAX($N$1:N2)+1,0)</f>
        <v>0</v>
      </c>
      <c r="O3" s="115">
        <f>IF(ISNUMBER(SEARCH('Карта учёта'!$B$23,Расходка[[#This Row],[Наименование расходного материала]])),MAX($O$1:O2)+1,0)</f>
        <v>0</v>
      </c>
      <c r="P3" s="115">
        <f>IF(ISNUMBER(SEARCH('Карта учёта'!$B$24,Расходка[[#This Row],[Наименование расходного материала]])),MAX($P$1:P2)+1,0)</f>
        <v>2</v>
      </c>
      <c r="Q3" s="115">
        <f>IF(ISNUMBER(SEARCH('Карта учёта'!$B$25,Расходка[[#This Row],[Наименование расходного материала]])),MAX($Q$1:Q2)+1,0)</f>
        <v>2</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
      </c>
      <c r="U3" s="114" t="str">
        <f>IFERROR(INDEX(Расходка[Наименование расходного материала],MATCH(Расходка[[#This Row],[№]],Поиск_расходки[Индекс4],0)),"")</f>
        <v/>
      </c>
      <c r="V3" s="114" t="str">
        <f>IFERROR(INDEX(Расходка[Наименование расходного материала],MATCH(Расходка[[#This Row],[№]],Поиск_расходки[Индекс5],0)),"")</f>
        <v xml:space="preserve">NC Колибри </v>
      </c>
      <c r="W3" s="114" t="str">
        <f>IFERROR(INDEX(Расходка[Наименование расходного материала],MATCH(Расходка[[#This Row],[№]],Поиск_расходки[Индекс6],0)),"")</f>
        <v/>
      </c>
      <c r="X3" s="114" t="str">
        <f>IFERROR(INDEX(Расходка[Наименование расходного материала],MATCH(Расходка[[#This Row],[№]],Поиск_расходки[Индекс7],0)),"")</f>
        <v/>
      </c>
      <c r="Y3" s="114" t="str">
        <f>IFERROR(INDEX(Расходка[Наименование расходного материала],MATCH(Расходка[[#This Row],[№]],Поиск_расходки[Индекс8],0)),"")</f>
        <v/>
      </c>
      <c r="Z3" s="114" t="str">
        <f>IFERROR(INDEX(Расходка[Наименование расходного материала],MATCH(Расходка[[#This Row],[№]],Поиск_расходки[Индекс9],0)),"")</f>
        <v/>
      </c>
      <c r="AA3" s="114" t="str">
        <f>IFERROR(INDEX(Расходка[Наименование расходного материала],MATCH(Расходка[[#This Row],[№]],Поиск_расходки[Индекс10],0)),"")</f>
        <v/>
      </c>
      <c r="AB3" s="114" t="str">
        <f>IFERROR(INDEX(Расходка[Наименование расходного материала],MATCH(Расходка[[#This Row],[№]],Поиск_расходки[Индекс11],0)),"")</f>
        <v/>
      </c>
      <c r="AC3" s="114" t="str">
        <f>IFERROR(INDEX(Расходка[Наименование расходного материала],MATCH(Расходка[[#This Row],[№]],Поиск_расходки[Индекс12],0)),"")</f>
        <v xml:space="preserve">Medtronic Export Advance </v>
      </c>
      <c r="AD3" s="114"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88">
        <v>218190</v>
      </c>
      <c r="AN3" s="2" t="s">
        <v>487</v>
      </c>
      <c r="AO3" t="s">
        <v>495</v>
      </c>
      <c r="AP3" s="128"/>
    </row>
    <row r="4" spans="1:42">
      <c r="A4">
        <f>ROW(Расходка[[#This Row],[Тип расходного материала ]])-1</f>
        <v>3</v>
      </c>
      <c r="B4" t="s">
        <v>5</v>
      </c>
      <c r="C4" s="1" t="s">
        <v>277</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0</v>
      </c>
      <c r="H4" s="115">
        <f>IF(ISNUMBER(SEARCH('Карта учёта'!$B$16,Расходка[[#This Row],[Наименование расходного материала]])),MAX($H$1:H3)+1,0)</f>
        <v>0</v>
      </c>
      <c r="I4" s="115">
        <f>IF(ISNUMBER(SEARCH('Карта учёта'!$B$17,Расходка[[#This Row],[Наименование расходного материала]])),MAX($I$1:I3)+1,0)</f>
        <v>0</v>
      </c>
      <c r="J4" s="115">
        <f>IF(ISNUMBER(SEARCH('Карта учёта'!$B$18,Расходка[[#This Row],[Наименование расходного материала]])),MAX($J$1:J3)+1,0)</f>
        <v>0</v>
      </c>
      <c r="K4" s="115">
        <f>IF(ISNUMBER(SEARCH('Карта учёта'!$B$19,Расходка[[#This Row],[Наименование расходного материала]])),MAX($K$1:K3)+1,0)</f>
        <v>0</v>
      </c>
      <c r="L4" s="115">
        <f>IF(ISNUMBER(SEARCH('Карта учёта'!$B$20,Расходка[[#This Row],[Наименование расходного материала]])),MAX($L$1:L3)+1,0)</f>
        <v>0</v>
      </c>
      <c r="M4" s="115">
        <f>IF(ISNUMBER(SEARCH('Карта учёта'!$B$21,Расходка[[#This Row],[Наименование расходного материала]])),MAX($M$1:M3)+1,0)</f>
        <v>0</v>
      </c>
      <c r="N4" s="115">
        <f>IF(ISNUMBER(SEARCH('Карта учёта'!$B$22,Расходка[[#This Row],[Наименование расходного материала]])),MAX($N$1:N3)+1,0)</f>
        <v>0</v>
      </c>
      <c r="O4" s="115">
        <f>IF(ISNUMBER(SEARCH('Карта учёта'!$B$23,Расходка[[#This Row],[Наименование расходного материала]])),MAX($O$1:O3)+1,0)</f>
        <v>0</v>
      </c>
      <c r="P4" s="115">
        <f>IF(ISNUMBER(SEARCH('Карта учёта'!$B$24,Расходка[[#This Row],[Наименование расходного материала]])),MAX($P$1:P3)+1,0)</f>
        <v>3</v>
      </c>
      <c r="Q4" s="115">
        <f>IF(ISNUMBER(SEARCH('Карта учёта'!$B$25,Расходка[[#This Row],[Наименование расходного материала]])),MAX($Q$1:Q3)+1,0)</f>
        <v>3</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
      </c>
      <c r="U4" s="114" t="str">
        <f>IFERROR(INDEX(Расходка[Наименование расходного материала],MATCH(Расходка[[#This Row],[№]],Поиск_расходки[Индекс4],0)),"")</f>
        <v/>
      </c>
      <c r="V4" s="114" t="str">
        <f>IFERROR(INDEX(Расходка[Наименование расходного материала],MATCH(Расходка[[#This Row],[№]],Поиск_расходки[Индекс5],0)),"")</f>
        <v/>
      </c>
      <c r="W4" s="114" t="str">
        <f>IFERROR(INDEX(Расходка[Наименование расходного материала],MATCH(Расходка[[#This Row],[№]],Поиск_расходки[Индекс6],0)),"")</f>
        <v/>
      </c>
      <c r="X4" s="114" t="str">
        <f>IFERROR(INDEX(Расходка[Наименование расходного материала],MATCH(Расходка[[#This Row],[№]],Поиск_расходки[Индекс7],0)),"")</f>
        <v/>
      </c>
      <c r="Y4" s="114" t="str">
        <f>IFERROR(INDEX(Расходка[Наименование расходного материала],MATCH(Расходка[[#This Row],[№]],Поиск_расходки[Индекс8],0)),"")</f>
        <v/>
      </c>
      <c r="Z4" s="114" t="str">
        <f>IFERROR(INDEX(Расходка[Наименование расходного материала],MATCH(Расходка[[#This Row],[№]],Поиск_расходки[Индекс9],0)),"")</f>
        <v/>
      </c>
      <c r="AA4" s="114" t="str">
        <f>IFERROR(INDEX(Расходка[Наименование расходного материала],MATCH(Расходка[[#This Row],[№]],Поиск_расходки[Индекс10],0)),"")</f>
        <v/>
      </c>
      <c r="AB4" s="114" t="str">
        <f>IFERROR(INDEX(Расходка[Наименование расходного материала],MATCH(Расходка[[#This Row],[№]],Поиск_расходки[Индекс11],0)),"")</f>
        <v/>
      </c>
      <c r="AC4" s="114" t="str">
        <f>IFERROR(INDEX(Расходка[Наименование расходного материала],MATCH(Расходка[[#This Row],[№]],Поиск_расходки[Индекс12],0)),"")</f>
        <v>Euphora</v>
      </c>
      <c r="AD4" s="114" t="str">
        <f>IFERROR(INDEX(Расходка[Наименование расходного материала],MATCH(Расходка[[#This Row],[№]],Поиск_расходки[Индекс13],0)),"")</f>
        <v>Euphora</v>
      </c>
      <c r="AF4" s="4" t="s">
        <v>5</v>
      </c>
      <c r="AG4" s="4" t="s">
        <v>402</v>
      </c>
      <c r="AI4" t="s">
        <v>190</v>
      </c>
      <c r="AJ4" t="s">
        <v>201</v>
      </c>
      <c r="AK4" t="str">
        <f t="shared" si="0"/>
        <v>Контраст: Оптирей 350</v>
      </c>
      <c r="AM4" s="188">
        <v>337440</v>
      </c>
      <c r="AN4" s="2" t="s">
        <v>500</v>
      </c>
      <c r="AO4" t="s">
        <v>497</v>
      </c>
      <c r="AP4" s="128"/>
    </row>
    <row r="5" spans="1:42">
      <c r="A5">
        <f>ROW(Расходка[[#This Row],[Тип расходного материала ]])-1</f>
        <v>4</v>
      </c>
      <c r="B5" t="s">
        <v>5</v>
      </c>
      <c r="C5" t="s">
        <v>311</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0</v>
      </c>
      <c r="H5" s="115">
        <f>IF(ISNUMBER(SEARCH('Карта учёта'!$B$16,Расходка[[#This Row],[Наименование расходного материала]])),MAX($H$1:H4)+1,0)</f>
        <v>0</v>
      </c>
      <c r="I5" s="115">
        <f>IF(ISNUMBER(SEARCH('Карта учёта'!$B$17,Расходка[[#This Row],[Наименование расходного материала]])),MAX($I$1:I4)+1,0)</f>
        <v>0</v>
      </c>
      <c r="J5" s="115">
        <f>IF(ISNUMBER(SEARCH('Карта учёта'!$B$18,Расходка[[#This Row],[Наименование расходного материала]])),MAX($J$1:J4)+1,0)</f>
        <v>0</v>
      </c>
      <c r="K5" s="115">
        <f>IF(ISNUMBER(SEARCH('Карта учёта'!$B$19,Расходка[[#This Row],[Наименование расходного материала]])),MAX($K$1:K4)+1,0)</f>
        <v>0</v>
      </c>
      <c r="L5" s="115">
        <f>IF(ISNUMBER(SEARCH('Карта учёта'!$B$20,Расходка[[#This Row],[Наименование расходного материала]])),MAX($L$1:L4)+1,0)</f>
        <v>0</v>
      </c>
      <c r="M5" s="115">
        <f>IF(ISNUMBER(SEARCH('Карта учёта'!$B$21,Расходка[[#This Row],[Наименование расходного материала]])),MAX($M$1:M4)+1,0)</f>
        <v>0</v>
      </c>
      <c r="N5" s="115">
        <f>IF(ISNUMBER(SEARCH('Карта учёта'!$B$22,Расходка[[#This Row],[Наименование расходного материала]])),MAX($N$1:N4)+1,0)</f>
        <v>0</v>
      </c>
      <c r="O5" s="115">
        <f>IF(ISNUMBER(SEARCH('Карта учёта'!$B$23,Расходка[[#This Row],[Наименование расходного материала]])),MAX($O$1:O4)+1,0)</f>
        <v>0</v>
      </c>
      <c r="P5" s="115">
        <f>IF(ISNUMBER(SEARCH('Карта учёта'!$B$24,Расходка[[#This Row],[Наименование расходного материала]])),MAX($P$1:P4)+1,0)</f>
        <v>4</v>
      </c>
      <c r="Q5" s="115">
        <f>IF(ISNUMBER(SEARCH('Карта учёта'!$B$25,Расходка[[#This Row],[Наименование расходного материала]])),MAX($Q$1:Q4)+1,0)</f>
        <v>4</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
      </c>
      <c r="U5" s="114" t="str">
        <f>IFERROR(INDEX(Расходка[Наименование расходного материала],MATCH(Расходка[[#This Row],[№]],Поиск_расходки[Индекс4],0)),"")</f>
        <v/>
      </c>
      <c r="V5" s="114" t="str">
        <f>IFERROR(INDEX(Расходка[Наименование расходного материала],MATCH(Расходка[[#This Row],[№]],Поиск_расходки[Индекс5],0)),"")</f>
        <v/>
      </c>
      <c r="W5" s="114" t="str">
        <f>IFERROR(INDEX(Расходка[Наименование расходного материала],MATCH(Расходка[[#This Row],[№]],Поиск_расходки[Индекс6],0)),"")</f>
        <v/>
      </c>
      <c r="X5" s="114" t="str">
        <f>IFERROR(INDEX(Расходка[Наименование расходного материала],MATCH(Расходка[[#This Row],[№]],Поиск_расходки[Индекс7],0)),"")</f>
        <v/>
      </c>
      <c r="Y5" s="114" t="str">
        <f>IFERROR(INDEX(Расходка[Наименование расходного материала],MATCH(Расходка[[#This Row],[№]],Поиск_расходки[Индекс8],0)),"")</f>
        <v/>
      </c>
      <c r="Z5" s="114" t="str">
        <f>IFERROR(INDEX(Расходка[Наименование расходного материала],MATCH(Расходка[[#This Row],[№]],Поиск_расходки[Индекс9],0)),"")</f>
        <v/>
      </c>
      <c r="AA5" s="114" t="str">
        <f>IFERROR(INDEX(Расходка[Наименование расходного материала],MATCH(Расходка[[#This Row],[№]],Поиск_расходки[Индекс10],0)),"")</f>
        <v/>
      </c>
      <c r="AB5" s="114" t="str">
        <f>IFERROR(INDEX(Расходка[Наименование расходного материала],MATCH(Расходка[[#This Row],[№]],Поиск_расходки[Индекс11],0)),"")</f>
        <v/>
      </c>
      <c r="AC5" s="114" t="str">
        <f>IFERROR(INDEX(Расходка[Наименование расходного материала],MATCH(Расходка[[#This Row],[№]],Поиск_расходки[Индекс12],0)),"")</f>
        <v>NC Accuforce</v>
      </c>
      <c r="AD5" s="114" t="str">
        <f>IFERROR(INDEX(Расходка[Наименование расходного материала],MATCH(Расходка[[#This Row],[№]],Поиск_расходки[Индекс13],0)),"")</f>
        <v>NC Accuforce</v>
      </c>
      <c r="AF5" s="4" t="s">
        <v>5</v>
      </c>
      <c r="AG5" s="4" t="s">
        <v>403</v>
      </c>
      <c r="AI5" t="s">
        <v>190</v>
      </c>
      <c r="AJ5" t="s">
        <v>202</v>
      </c>
      <c r="AK5" t="str">
        <f t="shared" si="0"/>
        <v>Контраст: Юнигексол 350</v>
      </c>
      <c r="AM5" s="206">
        <v>136170</v>
      </c>
      <c r="AN5" s="207"/>
      <c r="AO5" s="208" t="s">
        <v>496</v>
      </c>
    </row>
    <row r="6" spans="1:42">
      <c r="A6">
        <f>ROW(Расходка[[#This Row],[Тип расходного материала ]])-1</f>
        <v>5</v>
      </c>
      <c r="B6" t="s">
        <v>5</v>
      </c>
      <c r="C6" s="1" t="s">
        <v>306</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0</v>
      </c>
      <c r="H6" s="115">
        <f>IF(ISNUMBER(SEARCH('Карта учёта'!$B$16,Расходка[[#This Row],[Наименование расходного материала]])),MAX($H$1:H5)+1,0)</f>
        <v>0</v>
      </c>
      <c r="I6" s="115">
        <f>IF(ISNUMBER(SEARCH('Карта учёта'!$B$17,Расходка[[#This Row],[Наименование расходного материала]])),MAX($I$1:I5)+1,0)</f>
        <v>0</v>
      </c>
      <c r="J6" s="115">
        <f>IF(ISNUMBER(SEARCH('Карта учёта'!$B$18,Расходка[[#This Row],[Наименование расходного материала]])),MAX($J$1:J5)+1,0)</f>
        <v>0</v>
      </c>
      <c r="K6" s="115">
        <f>IF(ISNUMBER(SEARCH('Карта учёта'!$B$19,Расходка[[#This Row],[Наименование расходного материала]])),MAX($K$1:K5)+1,0)</f>
        <v>0</v>
      </c>
      <c r="L6" s="115">
        <f>IF(ISNUMBER(SEARCH('Карта учёта'!$B$20,Расходка[[#This Row],[Наименование расходного материала]])),MAX($L$1:L5)+1,0)</f>
        <v>0</v>
      </c>
      <c r="M6" s="115">
        <f>IF(ISNUMBER(SEARCH('Карта учёта'!$B$21,Расходка[[#This Row],[Наименование расходного материала]])),MAX($M$1:M5)+1,0)</f>
        <v>0</v>
      </c>
      <c r="N6" s="115">
        <f>IF(ISNUMBER(SEARCH('Карта учёта'!$B$22,Расходка[[#This Row],[Наименование расходного материала]])),MAX($N$1:N5)+1,0)</f>
        <v>0</v>
      </c>
      <c r="O6" s="115">
        <f>IF(ISNUMBER(SEARCH('Карта учёта'!$B$23,Расходка[[#This Row],[Наименование расходного материала]])),MAX($O$1:O5)+1,0)</f>
        <v>0</v>
      </c>
      <c r="P6" s="115">
        <f>IF(ISNUMBER(SEARCH('Карта учёта'!$B$24,Расходка[[#This Row],[Наименование расходного материала]])),MAX($P$1:P5)+1,0)</f>
        <v>5</v>
      </c>
      <c r="Q6" s="115">
        <f>IF(ISNUMBER(SEARCH('Карта учёта'!$B$25,Расходка[[#This Row],[Наименование расходного материала]])),MAX($Q$1:Q5)+1,0)</f>
        <v>5</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
      </c>
      <c r="U6" s="114" t="str">
        <f>IFERROR(INDEX(Расходка[Наименование расходного материала],MATCH(Расходка[[#This Row],[№]],Поиск_расходки[Индекс4],0)),"")</f>
        <v/>
      </c>
      <c r="V6" s="114" t="str">
        <f>IFERROR(INDEX(Расходка[Наименование расходного материала],MATCH(Расходка[[#This Row],[№]],Поиск_расходки[Индекс5],0)),"")</f>
        <v/>
      </c>
      <c r="W6" s="114" t="str">
        <f>IFERROR(INDEX(Расходка[Наименование расходного материала],MATCH(Расходка[[#This Row],[№]],Поиск_расходки[Индекс6],0)),"")</f>
        <v/>
      </c>
      <c r="X6" s="114" t="str">
        <f>IFERROR(INDEX(Расходка[Наименование расходного материала],MATCH(Расходка[[#This Row],[№]],Поиск_расходки[Индекс7],0)),"")</f>
        <v/>
      </c>
      <c r="Y6" s="114" t="str">
        <f>IFERROR(INDEX(Расходка[Наименование расходного материала],MATCH(Расходка[[#This Row],[№]],Поиск_расходки[Индекс8],0)),"")</f>
        <v/>
      </c>
      <c r="Z6" s="114" t="str">
        <f>IFERROR(INDEX(Расходка[Наименование расходного материала],MATCH(Расходка[[#This Row],[№]],Поиск_расходки[Индекс9],0)),"")</f>
        <v/>
      </c>
      <c r="AA6" s="114" t="str">
        <f>IFERROR(INDEX(Расходка[Наименование расходного материала],MATCH(Расходка[[#This Row],[№]],Поиск_расходки[Индекс10],0)),"")</f>
        <v/>
      </c>
      <c r="AB6" s="114" t="str">
        <f>IFERROR(INDEX(Расходка[Наименование расходного материала],MATCH(Расходка[[#This Row],[№]],Поиск_расходки[Индекс11],0)),"")</f>
        <v/>
      </c>
      <c r="AC6" s="114" t="str">
        <f>IFERROR(INDEX(Расходка[Наименование расходного материала],MATCH(Расходка[[#This Row],[№]],Поиск_расходки[Индекс12],0)),"")</f>
        <v>NC Euphora</v>
      </c>
      <c r="AD6" s="114" t="str">
        <f>IFERROR(INDEX(Расходка[Наименование расходного материала],MATCH(Расходка[[#This Row],[№]],Поиск_расходки[Индекс13],0)),"")</f>
        <v>NC Euphora</v>
      </c>
      <c r="AF6" s="4" t="s">
        <v>5</v>
      </c>
      <c r="AG6" s="4" t="s">
        <v>404</v>
      </c>
      <c r="AI6" t="s">
        <v>190</v>
      </c>
      <c r="AJ6" t="s">
        <v>203</v>
      </c>
      <c r="AK6" t="str">
        <f t="shared" si="0"/>
        <v>Контраст: Сканлюкс 370</v>
      </c>
      <c r="AM6" s="188">
        <v>135820</v>
      </c>
      <c r="AN6" s="2"/>
      <c r="AO6" t="s">
        <v>499</v>
      </c>
    </row>
    <row r="7" spans="1:42">
      <c r="A7">
        <f>ROW(Расходка[[#This Row],[Тип расходного материала ]])-1</f>
        <v>6</v>
      </c>
      <c r="B7" t="s">
        <v>5</v>
      </c>
      <c r="C7" t="s">
        <v>276</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0</v>
      </c>
      <c r="H7" s="115">
        <f>IF(ISNUMBER(SEARCH('Карта учёта'!$B$16,Расходка[[#This Row],[Наименование расходного материала]])),MAX($H$1:H6)+1,0)</f>
        <v>0</v>
      </c>
      <c r="I7" s="115">
        <f>IF(ISNUMBER(SEARCH('Карта учёта'!$B$17,Расходка[[#This Row],[Наименование расходного материала]])),MAX($I$1:I6)+1,0)</f>
        <v>0</v>
      </c>
      <c r="J7" s="115">
        <f>IF(ISNUMBER(SEARCH('Карта учёта'!$B$18,Расходка[[#This Row],[Наименование расходного материала]])),MAX($J$1:J6)+1,0)</f>
        <v>0</v>
      </c>
      <c r="K7" s="115">
        <f>IF(ISNUMBER(SEARCH('Карта учёта'!$B$19,Расходка[[#This Row],[Наименование расходного материала]])),MAX($K$1:K6)+1,0)</f>
        <v>0</v>
      </c>
      <c r="L7" s="115">
        <f>IF(ISNUMBER(SEARCH('Карта учёта'!$B$20,Расходка[[#This Row],[Наименование расходного материала]])),MAX($L$1:L6)+1,0)</f>
        <v>0</v>
      </c>
      <c r="M7" s="115">
        <f>IF(ISNUMBER(SEARCH('Карта учёта'!$B$21,Расходка[[#This Row],[Наименование расходного материала]])),MAX($M$1:M6)+1,0)</f>
        <v>0</v>
      </c>
      <c r="N7" s="115">
        <f>IF(ISNUMBER(SEARCH('Карта учёта'!$B$22,Расходка[[#This Row],[Наименование расходного материала]])),MAX($N$1:N6)+1,0)</f>
        <v>0</v>
      </c>
      <c r="O7" s="115">
        <f>IF(ISNUMBER(SEARCH('Карта учёта'!$B$23,Расходка[[#This Row],[Наименование расходного материала]])),MAX($O$1:O6)+1,0)</f>
        <v>0</v>
      </c>
      <c r="P7" s="115">
        <f>IF(ISNUMBER(SEARCH('Карта учёта'!$B$24,Расходка[[#This Row],[Наименование расходного материала]])),MAX($P$1:P6)+1,0)</f>
        <v>6</v>
      </c>
      <c r="Q7" s="115">
        <f>IF(ISNUMBER(SEARCH('Карта учёта'!$B$25,Расходка[[#This Row],[Наименование расходного материала]])),MAX($Q$1:Q6)+1,0)</f>
        <v>6</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
      </c>
      <c r="U7" s="114" t="str">
        <f>IFERROR(INDEX(Расходка[Наименование расходного материала],MATCH(Расходка[[#This Row],[№]],Поиск_расходки[Индекс4],0)),"")</f>
        <v/>
      </c>
      <c r="V7" s="114" t="str">
        <f>IFERROR(INDEX(Расходка[Наименование расходного материала],MATCH(Расходка[[#This Row],[№]],Поиск_расходки[Индекс5],0)),"")</f>
        <v/>
      </c>
      <c r="W7" s="114" t="str">
        <f>IFERROR(INDEX(Расходка[Наименование расходного материала],MATCH(Расходка[[#This Row],[№]],Поиск_расходки[Индекс6],0)),"")</f>
        <v/>
      </c>
      <c r="X7" s="114" t="str">
        <f>IFERROR(INDEX(Расходка[Наименование расходного материала],MATCH(Расходка[[#This Row],[№]],Поиск_расходки[Индекс7],0)),"")</f>
        <v/>
      </c>
      <c r="Y7" s="114" t="str">
        <f>IFERROR(INDEX(Расходка[Наименование расходного материала],MATCH(Расходка[[#This Row],[№]],Поиск_расходки[Индекс8],0)),"")</f>
        <v/>
      </c>
      <c r="Z7" s="114" t="str">
        <f>IFERROR(INDEX(Расходка[Наименование расходного материала],MATCH(Расходка[[#This Row],[№]],Поиск_расходки[Индекс9],0)),"")</f>
        <v/>
      </c>
      <c r="AA7" s="114" t="str">
        <f>IFERROR(INDEX(Расходка[Наименование расходного материала],MATCH(Расходка[[#This Row],[№]],Поиск_расходки[Индекс10],0)),"")</f>
        <v/>
      </c>
      <c r="AB7" s="114" t="str">
        <f>IFERROR(INDEX(Расходка[Наименование расходного материала],MATCH(Расходка[[#This Row],[№]],Поиск_расходки[Индекс11],0)),"")</f>
        <v/>
      </c>
      <c r="AC7" s="114" t="str">
        <f>IFERROR(INDEX(Расходка[Наименование расходного материала],MATCH(Расходка[[#This Row],[№]],Поиск_расходки[Индекс12],0)),"")</f>
        <v>Sapphire</v>
      </c>
      <c r="AD7" s="114" t="str">
        <f>IFERROR(INDEX(Расходка[Наименование расходного материала],MATCH(Расходка[[#This Row],[№]],Поиск_расходки[Индекс13],0)),"")</f>
        <v>Sapphire</v>
      </c>
      <c r="AF7" s="4" t="s">
        <v>5</v>
      </c>
      <c r="AG7" s="4" t="s">
        <v>405</v>
      </c>
      <c r="AI7" t="s">
        <v>190</v>
      </c>
      <c r="AJ7" t="s">
        <v>204</v>
      </c>
      <c r="AK7" t="str">
        <f t="shared" ref="AK7:AK8" si="1">CONCATENATE(AI7,AJ7)</f>
        <v>Контраст: Йогексол 350</v>
      </c>
      <c r="AM7" s="206">
        <v>155760</v>
      </c>
      <c r="AN7" s="207"/>
      <c r="AO7" s="208" t="s">
        <v>493</v>
      </c>
    </row>
    <row r="8" spans="1:42">
      <c r="A8">
        <f>ROW(Расходка[[#This Row],[Тип расходного материала ]])-1</f>
        <v>7</v>
      </c>
      <c r="B8" t="s">
        <v>5</v>
      </c>
      <c r="C8" t="s">
        <v>312</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0</v>
      </c>
      <c r="H8" s="115">
        <f>IF(ISNUMBER(SEARCH('Карта учёта'!$B$16,Расходка[[#This Row],[Наименование расходного материала]])),MAX($H$1:H7)+1,0)</f>
        <v>0</v>
      </c>
      <c r="I8" s="115">
        <f>IF(ISNUMBER(SEARCH('Карта учёта'!$B$17,Расходка[[#This Row],[Наименование расходного материала]])),MAX($I$1:I7)+1,0)</f>
        <v>0</v>
      </c>
      <c r="J8" s="115">
        <f>IF(ISNUMBER(SEARCH('Карта учёта'!$B$18,Расходка[[#This Row],[Наименование расходного материала]])),MAX($J$1:J7)+1,0)</f>
        <v>0</v>
      </c>
      <c r="K8" s="115">
        <f>IF(ISNUMBER(SEARCH('Карта учёта'!$B$19,Расходка[[#This Row],[Наименование расходного материала]])),MAX($K$1:K7)+1,0)</f>
        <v>0</v>
      </c>
      <c r="L8" s="115">
        <f>IF(ISNUMBER(SEARCH('Карта учёта'!$B$20,Расходка[[#This Row],[Наименование расходного материала]])),MAX($L$1:L7)+1,0)</f>
        <v>0</v>
      </c>
      <c r="M8" s="115">
        <f>IF(ISNUMBER(SEARCH('Карта учёта'!$B$21,Расходка[[#This Row],[Наименование расходного материала]])),MAX($M$1:M7)+1,0)</f>
        <v>0</v>
      </c>
      <c r="N8" s="115">
        <f>IF(ISNUMBER(SEARCH('Карта учёта'!$B$22,Расходка[[#This Row],[Наименование расходного материала]])),MAX($N$1:N7)+1,0)</f>
        <v>0</v>
      </c>
      <c r="O8" s="115">
        <f>IF(ISNUMBER(SEARCH('Карта учёта'!$B$23,Расходка[[#This Row],[Наименование расходного материала]])),MAX($O$1:O7)+1,0)</f>
        <v>0</v>
      </c>
      <c r="P8" s="115">
        <f>IF(ISNUMBER(SEARCH('Карта учёта'!$B$24,Расходка[[#This Row],[Наименование расходного материала]])),MAX($P$1:P7)+1,0)</f>
        <v>7</v>
      </c>
      <c r="Q8" s="115">
        <f>IF(ISNUMBER(SEARCH('Карта учёта'!$B$25,Расходка[[#This Row],[Наименование расходного материала]])),MAX($Q$1:Q7)+1,0)</f>
        <v>7</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
      </c>
      <c r="U8" s="114" t="str">
        <f>IFERROR(INDEX(Расходка[Наименование расходного материала],MATCH(Расходка[[#This Row],[№]],Поиск_расходки[Индекс4],0)),"")</f>
        <v/>
      </c>
      <c r="V8" s="114" t="str">
        <f>IFERROR(INDEX(Расходка[Наименование расходного материала],MATCH(Расходка[[#This Row],[№]],Поиск_расходки[Индекс5],0)),"")</f>
        <v/>
      </c>
      <c r="W8" s="114" t="str">
        <f>IFERROR(INDEX(Расходка[Наименование расходного материала],MATCH(Расходка[[#This Row],[№]],Поиск_расходки[Индекс6],0)),"")</f>
        <v/>
      </c>
      <c r="X8" s="114" t="str">
        <f>IFERROR(INDEX(Расходка[Наименование расходного материала],MATCH(Расходка[[#This Row],[№]],Поиск_расходки[Индекс7],0)),"")</f>
        <v/>
      </c>
      <c r="Y8" s="114" t="str">
        <f>IFERROR(INDEX(Расходка[Наименование расходного материала],MATCH(Расходка[[#This Row],[№]],Поиск_расходки[Индекс8],0)),"")</f>
        <v/>
      </c>
      <c r="Z8" s="114" t="str">
        <f>IFERROR(INDEX(Расходка[Наименование расходного материала],MATCH(Расходка[[#This Row],[№]],Поиск_расходки[Индекс9],0)),"")</f>
        <v/>
      </c>
      <c r="AA8" s="114" t="str">
        <f>IFERROR(INDEX(Расходка[Наименование расходного материала],MATCH(Расходка[[#This Row],[№]],Поиск_расходки[Индекс10],0)),"")</f>
        <v/>
      </c>
      <c r="AB8" s="114" t="str">
        <f>IFERROR(INDEX(Расходка[Наименование расходного материала],MATCH(Расходка[[#This Row],[№]],Поиск_расходки[Индекс11],0)),"")</f>
        <v/>
      </c>
      <c r="AC8" s="114" t="str">
        <f>IFERROR(INDEX(Расходка[Наименование расходного материала],MATCH(Расходка[[#This Row],[№]],Поиск_расходки[Индекс12],0)),"")</f>
        <v>Sprinter Legend</v>
      </c>
      <c r="AD8" s="114" t="str">
        <f>IFERROR(INDEX(Расходка[Наименование расходного материала],MATCH(Расходка[[#This Row],[№]],Поиск_расходки[Индекс13],0)),"")</f>
        <v>Sprinter Legend</v>
      </c>
      <c r="AF8" s="4" t="s">
        <v>5</v>
      </c>
      <c r="AG8" s="4" t="s">
        <v>406</v>
      </c>
      <c r="AI8" t="s">
        <v>190</v>
      </c>
      <c r="AJ8" t="s">
        <v>205</v>
      </c>
      <c r="AK8" t="str">
        <f t="shared" si="1"/>
        <v>Контраст: Визипак 320</v>
      </c>
      <c r="AM8" s="188">
        <v>218140</v>
      </c>
      <c r="AN8" s="2"/>
      <c r="AO8" t="s">
        <v>89</v>
      </c>
    </row>
    <row r="9" spans="1:42">
      <c r="A9">
        <f>ROW(Расходка[[#This Row],[Тип расходного материала ]])-1</f>
        <v>8</v>
      </c>
      <c r="B9" t="s">
        <v>5</v>
      </c>
      <c r="C9" t="s">
        <v>357</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0</v>
      </c>
      <c r="H9" s="115">
        <f>IF(ISNUMBER(SEARCH('Карта учёта'!$B$16,Расходка[[#This Row],[Наименование расходного материала]])),MAX($H$1:H8)+1,0)</f>
        <v>0</v>
      </c>
      <c r="I9" s="115">
        <f>IF(ISNUMBER(SEARCH('Карта учёта'!$B$17,Расходка[[#This Row],[Наименование расходного материала]])),MAX($I$1:I8)+1,0)</f>
        <v>0</v>
      </c>
      <c r="J9" s="115">
        <f>IF(ISNUMBER(SEARCH('Карта учёта'!$B$18,Расходка[[#This Row],[Наименование расходного материала]])),MAX($J$1:J8)+1,0)</f>
        <v>0</v>
      </c>
      <c r="K9" s="115">
        <f>IF(ISNUMBER(SEARCH('Карта учёта'!$B$19,Расходка[[#This Row],[Наименование расходного материала]])),MAX($K$1:K8)+1,0)</f>
        <v>0</v>
      </c>
      <c r="L9" s="115">
        <f>IF(ISNUMBER(SEARCH('Карта учёта'!$B$20,Расходка[[#This Row],[Наименование расходного материала]])),MAX($L$1:L8)+1,0)</f>
        <v>0</v>
      </c>
      <c r="M9" s="115">
        <f>IF(ISNUMBER(SEARCH('Карта учёта'!$B$21,Расходка[[#This Row],[Наименование расходного материала]])),MAX($M$1:M8)+1,0)</f>
        <v>0</v>
      </c>
      <c r="N9" s="115">
        <f>IF(ISNUMBER(SEARCH('Карта учёта'!$B$22,Расходка[[#This Row],[Наименование расходного материала]])),MAX($N$1:N8)+1,0)</f>
        <v>0</v>
      </c>
      <c r="O9" s="115">
        <f>IF(ISNUMBER(SEARCH('Карта учёта'!$B$23,Расходка[[#This Row],[Наименование расходного материала]])),MAX($O$1:O8)+1,0)</f>
        <v>0</v>
      </c>
      <c r="P9" s="115">
        <f>IF(ISNUMBER(SEARCH('Карта учёта'!$B$24,Расходка[[#This Row],[Наименование расходного материала]])),MAX($P$1:P8)+1,0)</f>
        <v>8</v>
      </c>
      <c r="Q9" s="115">
        <f>IF(ISNUMBER(SEARCH('Карта учёта'!$B$25,Расходка[[#This Row],[Наименование расходного материала]])),MAX($Q$1:Q8)+1,0)</f>
        <v>8</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
      </c>
      <c r="U9" s="114" t="str">
        <f>IFERROR(INDEX(Расходка[Наименование расходного материала],MATCH(Расходка[[#This Row],[№]],Поиск_расходки[Индекс4],0)),"")</f>
        <v/>
      </c>
      <c r="V9" s="114" t="str">
        <f>IFERROR(INDEX(Расходка[Наименование расходного материала],MATCH(Расходка[[#This Row],[№]],Поиск_расходки[Индекс5],0)),"")</f>
        <v/>
      </c>
      <c r="W9" s="114" t="str">
        <f>IFERROR(INDEX(Расходка[Наименование расходного материала],MATCH(Расходка[[#This Row],[№]],Поиск_расходки[Индекс6],0)),"")</f>
        <v/>
      </c>
      <c r="X9" s="114" t="str">
        <f>IFERROR(INDEX(Расходка[Наименование расходного материала],MATCH(Расходка[[#This Row],[№]],Поиск_расходки[Индекс7],0)),"")</f>
        <v/>
      </c>
      <c r="Y9" s="114" t="str">
        <f>IFERROR(INDEX(Расходка[Наименование расходного материала],MATCH(Расходка[[#This Row],[№]],Поиск_расходки[Индекс8],0)),"")</f>
        <v/>
      </c>
      <c r="Z9" s="114" t="str">
        <f>IFERROR(INDEX(Расходка[Наименование расходного материала],MATCH(Расходка[[#This Row],[№]],Поиск_расходки[Индекс9],0)),"")</f>
        <v/>
      </c>
      <c r="AA9" s="114" t="str">
        <f>IFERROR(INDEX(Расходка[Наименование расходного материала],MATCH(Расходка[[#This Row],[№]],Поиск_расходки[Индекс10],0)),"")</f>
        <v/>
      </c>
      <c r="AB9" s="114" t="str">
        <f>IFERROR(INDEX(Расходка[Наименование расходного материала],MATCH(Расходка[[#This Row],[№]],Поиск_расходки[Индекс11],0)),"")</f>
        <v/>
      </c>
      <c r="AC9" s="114" t="str">
        <f>IFERROR(INDEX(Расходка[Наименование расходного материала],MATCH(Расходка[[#This Row],[№]],Поиск_расходки[Индекс12],0)),"")</f>
        <v>SubMarine Rapido, Invatec</v>
      </c>
      <c r="AD9" s="114" t="str">
        <f>IFERROR(INDEX(Расходка[Наименование расходного материала],MATCH(Расходка[[#This Row],[№]],Поиск_расходки[Индекс13],0)),"")</f>
        <v>SubMarine Rapido, Invatec</v>
      </c>
      <c r="AF9" s="4" t="s">
        <v>5</v>
      </c>
      <c r="AG9" s="4" t="s">
        <v>407</v>
      </c>
      <c r="AM9" s="188">
        <v>218160</v>
      </c>
      <c r="AN9" s="2"/>
      <c r="AO9" t="s">
        <v>90</v>
      </c>
    </row>
    <row r="10" spans="1:42">
      <c r="A10">
        <f>ROW(Расходка[[#This Row],[Тип расходного материала ]])-1</f>
        <v>9</v>
      </c>
      <c r="B10" t="s">
        <v>5</v>
      </c>
      <c r="C10" t="s">
        <v>373</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0</v>
      </c>
      <c r="H10" s="115">
        <f>IF(ISNUMBER(SEARCH('Карта учёта'!$B$16,Расходка[[#This Row],[Наименование расходного материала]])),MAX($H$1:H9)+1,0)</f>
        <v>0</v>
      </c>
      <c r="I10" s="115">
        <f>IF(ISNUMBER(SEARCH('Карта учёта'!$B$17,Расходка[[#This Row],[Наименование расходного материала]])),MAX($I$1:I9)+1,0)</f>
        <v>1</v>
      </c>
      <c r="J10" s="115">
        <f>IF(ISNUMBER(SEARCH('Карта учёта'!$B$18,Расходка[[#This Row],[Наименование расходного материала]])),MAX($J$1:J9)+1,0)</f>
        <v>0</v>
      </c>
      <c r="K10" s="115">
        <f>IF(ISNUMBER(SEARCH('Карта учёта'!$B$19,Расходка[[#This Row],[Наименование расходного материала]])),MAX($K$1:K9)+1,0)</f>
        <v>0</v>
      </c>
      <c r="L10" s="115">
        <f>IF(ISNUMBER(SEARCH('Карта учёта'!$B$20,Расходка[[#This Row],[Наименование расходного материала]])),MAX($L$1:L9)+1,0)</f>
        <v>0</v>
      </c>
      <c r="M10" s="115">
        <f>IF(ISNUMBER(SEARCH('Карта учёта'!$B$21,Расходка[[#This Row],[Наименование расходного материала]])),MAX($M$1:M9)+1,0)</f>
        <v>0</v>
      </c>
      <c r="N10" s="115">
        <f>IF(ISNUMBER(SEARCH('Карта учёта'!$B$22,Расходка[[#This Row],[Наименование расходного материала]])),MAX($N$1:N9)+1,0)</f>
        <v>0</v>
      </c>
      <c r="O10" s="115">
        <f>IF(ISNUMBER(SEARCH('Карта учёта'!$B$23,Расходка[[#This Row],[Наименование расходного материала]])),MAX($O$1:O9)+1,0)</f>
        <v>0</v>
      </c>
      <c r="P10" s="115">
        <f>IF(ISNUMBER(SEARCH('Карта учёта'!$B$24,Расходка[[#This Row],[Наименование расходного материала]])),MAX($P$1:P9)+1,0)</f>
        <v>9</v>
      </c>
      <c r="Q10" s="115">
        <f>IF(ISNUMBER(SEARCH('Карта учёта'!$B$25,Расходка[[#This Row],[Наименование расходного материала]])),MAX($Q$1:Q9)+1,0)</f>
        <v>9</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
      </c>
      <c r="U10" s="114" t="str">
        <f>IFERROR(INDEX(Расходка[Наименование расходного материала],MATCH(Расходка[[#This Row],[№]],Поиск_расходки[Индекс4],0)),"")</f>
        <v/>
      </c>
      <c r="V10" s="114" t="str">
        <f>IFERROR(INDEX(Расходка[Наименование расходного материала],MATCH(Расходка[[#This Row],[№]],Поиск_расходки[Индекс5],0)),"")</f>
        <v/>
      </c>
      <c r="W10" s="114" t="str">
        <f>IFERROR(INDEX(Расходка[Наименование расходного материала],MATCH(Расходка[[#This Row],[№]],Поиск_расходки[Индекс6],0)),"")</f>
        <v/>
      </c>
      <c r="X10" s="114" t="str">
        <f>IFERROR(INDEX(Расходка[Наименование расходного материала],MATCH(Расходка[[#This Row],[№]],Поиск_расходки[Индекс7],0)),"")</f>
        <v/>
      </c>
      <c r="Y10" s="114" t="str">
        <f>IFERROR(INDEX(Расходка[Наименование расходного материала],MATCH(Расходка[[#This Row],[№]],Поиск_расходки[Индекс8],0)),"")</f>
        <v/>
      </c>
      <c r="Z10" s="114" t="str">
        <f>IFERROR(INDEX(Расходка[Наименование расходного материала],MATCH(Расходка[[#This Row],[№]],Поиск_расходки[Индекс9],0)),"")</f>
        <v/>
      </c>
      <c r="AA10" s="114" t="str">
        <f>IFERROR(INDEX(Расходка[Наименование расходного материала],MATCH(Расходка[[#This Row],[№]],Поиск_расходки[Индекс10],0)),"")</f>
        <v/>
      </c>
      <c r="AB10" s="114" t="str">
        <f>IFERROR(INDEX(Расходка[Наименование расходного материала],MATCH(Расходка[[#This Row],[№]],Поиск_расходки[Индекс11],0)),"")</f>
        <v/>
      </c>
      <c r="AC10" s="114" t="str">
        <f>IFERROR(INDEX(Расходка[Наименование расходного материала],MATCH(Расходка[[#This Row],[№]],Поиск_расходки[Индекс12],0)),"")</f>
        <v>Колибри</v>
      </c>
      <c r="AD10" s="114" t="str">
        <f>IFERROR(INDEX(Расходка[Наименование расходного материала],MATCH(Расходка[[#This Row],[№]],Поиск_расходки[Индекс13],0)),"")</f>
        <v>Колибри</v>
      </c>
      <c r="AF10" s="4" t="s">
        <v>5</v>
      </c>
      <c r="AG10" s="4" t="s">
        <v>408</v>
      </c>
      <c r="AI10" t="s">
        <v>354</v>
      </c>
      <c r="AM10" s="188">
        <v>194510</v>
      </c>
      <c r="AN10" s="2"/>
      <c r="AO10" t="s">
        <v>91</v>
      </c>
    </row>
    <row r="11" spans="1:42">
      <c r="A11">
        <f>ROW(Расходка[[#This Row],[Тип расходного материала ]])-1</f>
        <v>10</v>
      </c>
      <c r="B11" t="s">
        <v>5</v>
      </c>
      <c r="C11" t="s">
        <v>396</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0</v>
      </c>
      <c r="H11" s="115">
        <f>IF(ISNUMBER(SEARCH('Карта учёта'!$B$16,Расходка[[#This Row],[Наименование расходного материала]])),MAX($H$1:H10)+1,0)</f>
        <v>0</v>
      </c>
      <c r="I11" s="115">
        <f>IF(ISNUMBER(SEARCH('Карта учёта'!$B$17,Расходка[[#This Row],[Наименование расходного материала]])),MAX($I$1:I10)+1,0)</f>
        <v>2</v>
      </c>
      <c r="J11" s="115">
        <f>IF(ISNUMBER(SEARCH('Карта учёта'!$B$18,Расходка[[#This Row],[Наименование расходного материала]])),MAX($J$1:J10)+1,0)</f>
        <v>0</v>
      </c>
      <c r="K11" s="115">
        <f>IF(ISNUMBER(SEARCH('Карта учёта'!$B$19,Расходка[[#This Row],[Наименование расходного материала]])),MAX($K$1:K10)+1,0)</f>
        <v>0</v>
      </c>
      <c r="L11" s="115">
        <f>IF(ISNUMBER(SEARCH('Карта учёта'!$B$20,Расходка[[#This Row],[Наименование расходного материала]])),MAX($L$1:L10)+1,0)</f>
        <v>0</v>
      </c>
      <c r="M11" s="115">
        <f>IF(ISNUMBER(SEARCH('Карта учёта'!$B$21,Расходка[[#This Row],[Наименование расходного материала]])),MAX($M$1:M10)+1,0)</f>
        <v>0</v>
      </c>
      <c r="N11" s="115">
        <f>IF(ISNUMBER(SEARCH('Карта учёта'!$B$22,Расходка[[#This Row],[Наименование расходного материала]])),MAX($N$1:N10)+1,0)</f>
        <v>0</v>
      </c>
      <c r="O11" s="115">
        <f>IF(ISNUMBER(SEARCH('Карта учёта'!$B$23,Расходка[[#This Row],[Наименование расходного материала]])),MAX($O$1:O10)+1,0)</f>
        <v>0</v>
      </c>
      <c r="P11" s="115">
        <f>IF(ISNUMBER(SEARCH('Карта учёта'!$B$24,Расходка[[#This Row],[Наименование расходного материала]])),MAX($P$1:P10)+1,0)</f>
        <v>10</v>
      </c>
      <c r="Q11" s="115">
        <f>IF(ISNUMBER(SEARCH('Карта учёта'!$B$25,Расходка[[#This Row],[Наименование расходного материала]])),MAX($Q$1:Q10)+1,0)</f>
        <v>10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c>
      <c r="U11" s="114" t="str">
        <f>IFERROR(INDEX(Расходка[Наименование расходного материала],MATCH(Расходка[[#This Row],[№]],Поиск_расходки[Индекс4],0)),"")</f>
        <v/>
      </c>
      <c r="V11" s="114" t="str">
        <f>IFERROR(INDEX(Расходка[Наименование расходного материала],MATCH(Расходка[[#This Row],[№]],Поиск_расходки[Индекс5],0)),"")</f>
        <v/>
      </c>
      <c r="W11" s="114" t="str">
        <f>IFERROR(INDEX(Расходка[Наименование расходного материала],MATCH(Расходка[[#This Row],[№]],Поиск_расходки[Индекс6],0)),"")</f>
        <v/>
      </c>
      <c r="X11" s="114" t="str">
        <f>IFERROR(INDEX(Расходка[Наименование расходного материала],MATCH(Расходка[[#This Row],[№]],Поиск_расходки[Индекс7],0)),"")</f>
        <v/>
      </c>
      <c r="Y11" s="114" t="str">
        <f>IFERROR(INDEX(Расходка[Наименование расходного материала],MATCH(Расходка[[#This Row],[№]],Поиск_расходки[Индекс8],0)),"")</f>
        <v/>
      </c>
      <c r="Z11" s="114" t="str">
        <f>IFERROR(INDEX(Расходка[Наименование расходного материала],MATCH(Расходка[[#This Row],[№]],Поиск_расходки[Индекс9],0)),"")</f>
        <v/>
      </c>
      <c r="AA11" s="114" t="str">
        <f>IFERROR(INDEX(Расходка[Наименование расходного материала],MATCH(Расходка[[#This Row],[№]],Поиск_расходки[Индекс10],0)),"")</f>
        <v/>
      </c>
      <c r="AB11" s="114" t="str">
        <f>IFERROR(INDEX(Расходка[Наименование расходного материала],MATCH(Расходка[[#This Row],[№]],Поиск_расходки[Индекс11],0)),"")</f>
        <v/>
      </c>
      <c r="AC11" s="114" t="str">
        <f>IFERROR(INDEX(Расходка[Наименование расходного материала],MATCH(Расходка[[#This Row],[№]],Поиск_расходки[Индекс12],0)),"")</f>
        <v xml:space="preserve">NC Колибри </v>
      </c>
      <c r="AD11" s="114" t="str">
        <f>IFERROR(INDEX(Расходка[Наименование расходного материала],MATCH(Расходка[[#This Row],[№]],Поиск_расходки[Индекс13],0)),"")</f>
        <v xml:space="preserve">NC Колибри </v>
      </c>
      <c r="AF11" s="4" t="s">
        <v>5</v>
      </c>
      <c r="AG11" s="4" t="s">
        <v>409</v>
      </c>
      <c r="AI11" t="s">
        <v>4</v>
      </c>
      <c r="AM11" s="188">
        <v>323500</v>
      </c>
      <c r="AN11" s="2"/>
      <c r="AO11" t="s">
        <v>92</v>
      </c>
    </row>
    <row r="12" spans="1:42">
      <c r="A12">
        <f>ROW(Расходка[[#This Row],[Тип расходного материала ]])-1</f>
        <v>11</v>
      </c>
      <c r="B12" t="s">
        <v>5</v>
      </c>
      <c r="C12" t="s">
        <v>512</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0</v>
      </c>
      <c r="H12" s="115">
        <f>IF(ISNUMBER(SEARCH('Карта учёта'!$B$16,Расходка[[#This Row],[Наименование расходного материала]])),MAX($H$1:H11)+1,0)</f>
        <v>0</v>
      </c>
      <c r="I12" s="115">
        <f>IF(ISNUMBER(SEARCH('Карта учёта'!$B$17,Расходка[[#This Row],[Наименование расходного материала]])),MAX($I$1:I11)+1,0)</f>
        <v>0</v>
      </c>
      <c r="J12" s="115">
        <f>IF(ISNUMBER(SEARCH('Карта учёта'!$B$18,Расходка[[#This Row],[Наименование расходного материала]])),MAX($J$1:J11)+1,0)</f>
        <v>1</v>
      </c>
      <c r="K12" s="115">
        <f>IF(ISNUMBER(SEARCH('Карта учёта'!$B$19,Расходка[[#This Row],[Наименование расходного материала]])),MAX($K$1:K11)+1,0)</f>
        <v>0</v>
      </c>
      <c r="L12" s="115">
        <f>IF(ISNUMBER(SEARCH('Карта учёта'!$B$20,Расходка[[#This Row],[Наименование расходного материала]])),MAX($L$1:L11)+1,0)</f>
        <v>0</v>
      </c>
      <c r="M12" s="115">
        <f>IF(ISNUMBER(SEARCH('Карта учёта'!$B$21,Расходка[[#This Row],[Наименование расходного материала]])),MAX($M$1:M11)+1,0)</f>
        <v>0</v>
      </c>
      <c r="N12" s="115">
        <f>IF(ISNUMBER(SEARCH('Карта учёта'!$B$22,Расходка[[#This Row],[Наименование расходного материала]])),MAX($N$1:N11)+1,0)</f>
        <v>0</v>
      </c>
      <c r="O12" s="115">
        <f>IF(ISNUMBER(SEARCH('Карта учёта'!$B$23,Расходка[[#This Row],[Наименование расходного материала]])),MAX($O$1:O11)+1,0)</f>
        <v>0</v>
      </c>
      <c r="P12" s="115">
        <f>IF(ISNUMBER(SEARCH('Карта учёта'!$B$24,Расходка[[#This Row],[Наименование расходного материала]])),MAX($P$1:P11)+1,0)</f>
        <v>11</v>
      </c>
      <c r="Q12" s="115">
        <f>IF(ISNUMBER(SEARCH('Карта учёта'!$B$25,Расходка[[#This Row],[Наименование расходного материала]])),MAX($Q$1:Q11)+1,0)</f>
        <v>11</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
      </c>
      <c r="U12" s="114" t="str">
        <f>IFERROR(INDEX(Расходка[Наименование расходного материала],MATCH(Расходка[[#This Row],[№]],Поиск_расходки[Индекс4],0)),"")</f>
        <v/>
      </c>
      <c r="V12" s="114" t="str">
        <f>IFERROR(INDEX(Расходка[Наименование расходного материала],MATCH(Расходка[[#This Row],[№]],Поиск_расходки[Индекс5],0)),"")</f>
        <v/>
      </c>
      <c r="W12" s="114" t="str">
        <f>IFERROR(INDEX(Расходка[Наименование расходного материала],MATCH(Расходка[[#This Row],[№]],Поиск_расходки[Индекс6],0)),"")</f>
        <v/>
      </c>
      <c r="X12" s="114" t="str">
        <f>IFERROR(INDEX(Расходка[Наименование расходного материала],MATCH(Расходка[[#This Row],[№]],Поиск_расходки[Индекс7],0)),"")</f>
        <v/>
      </c>
      <c r="Y12" s="114" t="str">
        <f>IFERROR(INDEX(Расходка[Наименование расходного материала],MATCH(Расходка[[#This Row],[№]],Поиск_расходки[Индекс8],0)),"")</f>
        <v/>
      </c>
      <c r="Z12" s="114" t="str">
        <f>IFERROR(INDEX(Расходка[Наименование расходного материала],MATCH(Расходка[[#This Row],[№]],Поиск_расходки[Индекс9],0)),"")</f>
        <v/>
      </c>
      <c r="AA12" s="114" t="str">
        <f>IFERROR(INDEX(Расходка[Наименование расходного материала],MATCH(Расходка[[#This Row],[№]],Поиск_расходки[Индекс10],0)),"")</f>
        <v/>
      </c>
      <c r="AB12" s="114" t="str">
        <f>IFERROR(INDEX(Расходка[Наименование расходного материала],MATCH(Расходка[[#This Row],[№]],Поиск_расходки[Индекс11],0)),"")</f>
        <v/>
      </c>
      <c r="AC12" s="114" t="str">
        <f>IFERROR(INDEX(Расходка[Наименование расходного материала],MATCH(Расходка[[#This Row],[№]],Поиск_расходки[Индекс12],0)),"")</f>
        <v>NC АКСИОМА</v>
      </c>
      <c r="AD12" s="114" t="str">
        <f>IFERROR(INDEX(Расходка[Наименование расходного материала],MATCH(Расходка[[#This Row],[№]],Поиск_расходки[Индекс13],0)),"")</f>
        <v>NC АКСИОМА</v>
      </c>
      <c r="AF12" s="4" t="s">
        <v>5</v>
      </c>
      <c r="AG12" s="4" t="s">
        <v>410</v>
      </c>
      <c r="AI12" t="s">
        <v>3</v>
      </c>
      <c r="AM12" s="188">
        <v>323510</v>
      </c>
      <c r="AN12" s="2"/>
      <c r="AO12" t="s">
        <v>93</v>
      </c>
    </row>
    <row r="13" spans="1:42">
      <c r="A13">
        <f>ROW(Расходка[[#This Row],[Тип расходного материала ]])-1</f>
        <v>12</v>
      </c>
      <c r="B13" t="s">
        <v>307</v>
      </c>
      <c r="C13" s="1" t="s">
        <v>332</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0</v>
      </c>
      <c r="H13" s="115">
        <f>IF(ISNUMBER(SEARCH('Карта учёта'!$B$16,Расходка[[#This Row],[Наименование расходного материала]])),MAX($H$1:H12)+1,0)</f>
        <v>0</v>
      </c>
      <c r="I13" s="115">
        <f>IF(ISNUMBER(SEARCH('Карта учёта'!$B$17,Расходка[[#This Row],[Наименование расходного материала]])),MAX($I$1:I12)+1,0)</f>
        <v>0</v>
      </c>
      <c r="J13" s="115">
        <f>IF(ISNUMBER(SEARCH('Карта учёта'!$B$18,Расходка[[#This Row],[Наименование расходного материала]])),MAX($J$1:J12)+1,0)</f>
        <v>0</v>
      </c>
      <c r="K13" s="115">
        <f>IF(ISNUMBER(SEARCH('Карта учёта'!$B$19,Расходка[[#This Row],[Наименование расходного материала]])),MAX($K$1:K12)+1,0)</f>
        <v>0</v>
      </c>
      <c r="L13" s="115">
        <f>IF(ISNUMBER(SEARCH('Карта учёта'!$B$20,Расходка[[#This Row],[Наименование расходного материала]])),MAX($L$1:L12)+1,0)</f>
        <v>0</v>
      </c>
      <c r="M13" s="115">
        <f>IF(ISNUMBER(SEARCH('Карта учёта'!$B$21,Расходка[[#This Row],[Наименование расходного материала]])),MAX($M$1:M12)+1,0)</f>
        <v>0</v>
      </c>
      <c r="N13" s="115">
        <f>IF(ISNUMBER(SEARCH('Карта учёта'!$B$22,Расходка[[#This Row],[Наименование расходного материала]])),MAX($N$1:N12)+1,0)</f>
        <v>0</v>
      </c>
      <c r="O13" s="115">
        <f>IF(ISNUMBER(SEARCH('Карта учёта'!$B$23,Расходка[[#This Row],[Наименование расходного материала]])),MAX($O$1:O12)+1,0)</f>
        <v>0</v>
      </c>
      <c r="P13" s="115">
        <f>IF(ISNUMBER(SEARCH('Карта учёта'!$B$24,Расходка[[#This Row],[Наименование расходного материала]])),MAX($P$1:P12)+1,0)</f>
        <v>12</v>
      </c>
      <c r="Q13" s="115">
        <f>IF(ISNUMBER(SEARCH('Карта учёта'!$B$25,Расходка[[#This Row],[Наименование расходного материала]])),MAX($Q$1:Q12)+1,0)</f>
        <v>12</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
      </c>
      <c r="U13" s="114" t="str">
        <f>IFERROR(INDEX(Расходка[Наименование расходного материала],MATCH(Расходка[[#This Row],[№]],Поиск_расходки[Индекс4],0)),"")</f>
        <v/>
      </c>
      <c r="V13" s="114" t="str">
        <f>IFERROR(INDEX(Расходка[Наименование расходного материала],MATCH(Расходка[[#This Row],[№]],Поиск_расходки[Индекс5],0)),"")</f>
        <v/>
      </c>
      <c r="W13" s="114" t="str">
        <f>IFERROR(INDEX(Расходка[Наименование расходного материала],MATCH(Расходка[[#This Row],[№]],Поиск_расходки[Индекс6],0)),"")</f>
        <v/>
      </c>
      <c r="X13" s="114" t="str">
        <f>IFERROR(INDEX(Расходка[Наименование расходного материала],MATCH(Расходка[[#This Row],[№]],Поиск_расходки[Индекс7],0)),"")</f>
        <v/>
      </c>
      <c r="Y13" s="114" t="str">
        <f>IFERROR(INDEX(Расходка[Наименование расходного материала],MATCH(Расходка[[#This Row],[№]],Поиск_расходки[Индекс8],0)),"")</f>
        <v/>
      </c>
      <c r="Z13" s="114" t="str">
        <f>IFERROR(INDEX(Расходка[Наименование расходного материала],MATCH(Расходка[[#This Row],[№]],Поиск_расходки[Индекс9],0)),"")</f>
        <v/>
      </c>
      <c r="AA13" s="114" t="str">
        <f>IFERROR(INDEX(Расходка[Наименование расходного материала],MATCH(Расходка[[#This Row],[№]],Поиск_расходки[Индекс10],0)),"")</f>
        <v/>
      </c>
      <c r="AB13" s="114" t="str">
        <f>IFERROR(INDEX(Расходка[Наименование расходного материала],MATCH(Расходка[[#This Row],[№]],Поиск_расходки[Индекс11],0)),"")</f>
        <v/>
      </c>
      <c r="AC13" s="114" t="str">
        <f>IFERROR(INDEX(Расходка[Наименование расходного материала],MATCH(Расходка[[#This Row],[№]],Поиск_расходки[Индекс12],0)),"")</f>
        <v>Nitrex 260</v>
      </c>
      <c r="AD13" s="114" t="str">
        <f>IFERROR(INDEX(Расходка[Наименование расходного материала],MATCH(Расходка[[#This Row],[№]],Поиск_расходки[Индекс13],0)),"")</f>
        <v>Nitrex 260</v>
      </c>
      <c r="AF13" s="4" t="s">
        <v>5</v>
      </c>
      <c r="AG13" s="4" t="s">
        <v>411</v>
      </c>
      <c r="AI13" t="s">
        <v>6</v>
      </c>
      <c r="AN13" s="2"/>
    </row>
    <row r="14" spans="1:42">
      <c r="A14">
        <f>ROW(Расходка[[#This Row],[Тип расходного материала ]])-1</f>
        <v>13</v>
      </c>
      <c r="B14" t="s">
        <v>307</v>
      </c>
      <c r="C14" t="s">
        <v>364</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0</v>
      </c>
      <c r="H14" s="115">
        <f>IF(ISNUMBER(SEARCH('Карта учёта'!$B$16,Расходка[[#This Row],[Наименование расходного материала]])),MAX($H$1:H13)+1,0)</f>
        <v>0</v>
      </c>
      <c r="I14" s="115">
        <f>IF(ISNUMBER(SEARCH('Карта учёта'!$B$17,Расходка[[#This Row],[Наименование расходного материала]])),MAX($I$1:I13)+1,0)</f>
        <v>0</v>
      </c>
      <c r="J14" s="115">
        <f>IF(ISNUMBER(SEARCH('Карта учёта'!$B$18,Расходка[[#This Row],[Наименование расходного материала]])),MAX($J$1:J13)+1,0)</f>
        <v>0</v>
      </c>
      <c r="K14" s="115">
        <f>IF(ISNUMBER(SEARCH('Карта учёта'!$B$19,Расходка[[#This Row],[Наименование расходного материала]])),MAX($K$1:K13)+1,0)</f>
        <v>0</v>
      </c>
      <c r="L14" s="115">
        <f>IF(ISNUMBER(SEARCH('Карта учёта'!$B$20,Расходка[[#This Row],[Наименование расходного материала]])),MAX($L$1:L13)+1,0)</f>
        <v>0</v>
      </c>
      <c r="M14" s="115">
        <f>IF(ISNUMBER(SEARCH('Карта учёта'!$B$21,Расходка[[#This Row],[Наименование расходного материала]])),MAX($M$1:M13)+1,0)</f>
        <v>0</v>
      </c>
      <c r="N14" s="115">
        <f>IF(ISNUMBER(SEARCH('Карта учёта'!$B$22,Расходка[[#This Row],[Наименование расходного материала]])),MAX($N$1:N13)+1,0)</f>
        <v>0</v>
      </c>
      <c r="O14" s="115">
        <f>IF(ISNUMBER(SEARCH('Карта учёта'!$B$23,Расходка[[#This Row],[Наименование расходного материала]])),MAX($O$1:O13)+1,0)</f>
        <v>0</v>
      </c>
      <c r="P14" s="115">
        <f>IF(ISNUMBER(SEARCH('Карта учёта'!$B$24,Расходка[[#This Row],[Наименование расходного материала]])),MAX($P$1:P13)+1,0)</f>
        <v>13</v>
      </c>
      <c r="Q14" s="115">
        <f>IF(ISNUMBER(SEARCH('Карта учёта'!$B$25,Расходка[[#This Row],[Наименование расходного материала]])),MAX($Q$1:Q13)+1,0)</f>
        <v>13</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
      </c>
      <c r="U14" s="114" t="str">
        <f>IFERROR(INDEX(Расходка[Наименование расходного материала],MATCH(Расходка[[#This Row],[№]],Поиск_расходки[Индекс4],0)),"")</f>
        <v/>
      </c>
      <c r="V14" s="114" t="str">
        <f>IFERROR(INDEX(Расходка[Наименование расходного материала],MATCH(Расходка[[#This Row],[№]],Поиск_расходки[Индекс5],0)),"")</f>
        <v/>
      </c>
      <c r="W14" s="114" t="str">
        <f>IFERROR(INDEX(Расходка[Наименование расходного материала],MATCH(Расходка[[#This Row],[№]],Поиск_расходки[Индекс6],0)),"")</f>
        <v/>
      </c>
      <c r="X14" s="114" t="str">
        <f>IFERROR(INDEX(Расходка[Наименование расходного материала],MATCH(Расходка[[#This Row],[№]],Поиск_расходки[Индекс7],0)),"")</f>
        <v/>
      </c>
      <c r="Y14" s="114" t="str">
        <f>IFERROR(INDEX(Расходка[Наименование расходного материала],MATCH(Расходка[[#This Row],[№]],Поиск_расходки[Индекс8],0)),"")</f>
        <v/>
      </c>
      <c r="Z14" s="114" t="str">
        <f>IFERROR(INDEX(Расходка[Наименование расходного материала],MATCH(Расходка[[#This Row],[№]],Поиск_расходки[Индекс9],0)),"")</f>
        <v/>
      </c>
      <c r="AA14" s="114" t="str">
        <f>IFERROR(INDEX(Расходка[Наименование расходного материала],MATCH(Расходка[[#This Row],[№]],Поиск_расходки[Индекс10],0)),"")</f>
        <v/>
      </c>
      <c r="AB14" s="114" t="str">
        <f>IFERROR(INDEX(Расходка[Наименование расходного материала],MATCH(Расходка[[#This Row],[№]],Поиск_расходки[Индекс11],0)),"")</f>
        <v/>
      </c>
      <c r="AC14" s="114" t="str">
        <f>IFERROR(INDEX(Расходка[Наименование расходного материала],MATCH(Расходка[[#This Row],[№]],Поиск_расходки[Индекс12],0)),"")</f>
        <v>RadiFocus</v>
      </c>
      <c r="AD14" s="114" t="str">
        <f>IFERROR(INDEX(Расходка[Наименование расходного материала],MATCH(Расходка[[#This Row],[№]],Поиск_расходки[Индекс13],0)),"")</f>
        <v>RadiFocus</v>
      </c>
      <c r="AF14" s="4" t="s">
        <v>5</v>
      </c>
      <c r="AG14" s="4" t="s">
        <v>490</v>
      </c>
      <c r="AI14" t="s">
        <v>5</v>
      </c>
      <c r="AM14" s="188"/>
      <c r="AN14" s="2"/>
    </row>
    <row r="15" spans="1:42">
      <c r="A15">
        <f>ROW(Расходка[[#This Row],[Тип расходного материала ]])-1</f>
        <v>14</v>
      </c>
      <c r="B15" t="s">
        <v>305</v>
      </c>
      <c r="C15" t="s">
        <v>331</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0</v>
      </c>
      <c r="H15" s="115">
        <f>IF(ISNUMBER(SEARCH('Карта учёта'!$B$16,Расходка[[#This Row],[Наименование расходного материала]])),MAX($H$1:H14)+1,0)</f>
        <v>0</v>
      </c>
      <c r="I15" s="115">
        <f>IF(ISNUMBER(SEARCH('Карта учёта'!$B$17,Расходка[[#This Row],[Наименование расходного материала]])),MAX($I$1:I14)+1,0)</f>
        <v>0</v>
      </c>
      <c r="J15" s="115">
        <f>IF(ISNUMBER(SEARCH('Карта учёта'!$B$18,Расходка[[#This Row],[Наименование расходного материала]])),MAX($J$1:J14)+1,0)</f>
        <v>0</v>
      </c>
      <c r="K15" s="115">
        <f>IF(ISNUMBER(SEARCH('Карта учёта'!$B$19,Расходка[[#This Row],[Наименование расходного материала]])),MAX($K$1:K14)+1,0)</f>
        <v>0</v>
      </c>
      <c r="L15" s="115">
        <f>IF(ISNUMBER(SEARCH('Карта учёта'!$B$20,Расходка[[#This Row],[Наименование расходного материала]])),MAX($L$1:L14)+1,0)</f>
        <v>0</v>
      </c>
      <c r="M15" s="115">
        <f>IF(ISNUMBER(SEARCH('Карта учёта'!$B$21,Расходка[[#This Row],[Наименование расходного материала]])),MAX($M$1:M14)+1,0)</f>
        <v>0</v>
      </c>
      <c r="N15" s="115">
        <f>IF(ISNUMBER(SEARCH('Карта учёта'!$B$22,Расходка[[#This Row],[Наименование расходного материала]])),MAX($N$1:N14)+1,0)</f>
        <v>0</v>
      </c>
      <c r="O15" s="115">
        <f>IF(ISNUMBER(SEARCH('Карта учёта'!$B$23,Расходка[[#This Row],[Наименование расходного материала]])),MAX($O$1:O14)+1,0)</f>
        <v>0</v>
      </c>
      <c r="P15" s="115">
        <f>IF(ISNUMBER(SEARCH('Карта учёта'!$B$24,Расходка[[#This Row],[Наименование расходного материала]])),MAX($P$1:P14)+1,0)</f>
        <v>14</v>
      </c>
      <c r="Q15" s="115">
        <f>IF(ISNUMBER(SEARCH('Карта учёта'!$B$25,Расходка[[#This Row],[Наименование расходного материала]])),MAX($Q$1:Q14)+1,0)</f>
        <v>14</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
      </c>
      <c r="U15" s="114" t="str">
        <f>IFERROR(INDEX(Расходка[Наименование расходного материала],MATCH(Расходка[[#This Row],[№]],Поиск_расходки[Индекс4],0)),"")</f>
        <v/>
      </c>
      <c r="V15" s="114" t="str">
        <f>IFERROR(INDEX(Расходка[Наименование расходного материала],MATCH(Расходка[[#This Row],[№]],Поиск_расходки[Индекс5],0)),"")</f>
        <v/>
      </c>
      <c r="W15" s="114" t="str">
        <f>IFERROR(INDEX(Расходка[Наименование расходного материала],MATCH(Расходка[[#This Row],[№]],Поиск_расходки[Индекс6],0)),"")</f>
        <v/>
      </c>
      <c r="X15" s="114" t="str">
        <f>IFERROR(INDEX(Расходка[Наименование расходного материала],MATCH(Расходка[[#This Row],[№]],Поиск_расходки[Индекс7],0)),"")</f>
        <v/>
      </c>
      <c r="Y15" s="114" t="str">
        <f>IFERROR(INDEX(Расходка[Наименование расходного материала],MATCH(Расходка[[#This Row],[№]],Поиск_расходки[Индекс8],0)),"")</f>
        <v/>
      </c>
      <c r="Z15" s="114" t="str">
        <f>IFERROR(INDEX(Расходка[Наименование расходного материала],MATCH(Расходка[[#This Row],[№]],Поиск_расходки[Индекс9],0)),"")</f>
        <v/>
      </c>
      <c r="AA15" s="114" t="str">
        <f>IFERROR(INDEX(Расходка[Наименование расходного материала],MATCH(Расходка[[#This Row],[№]],Поиск_расходки[Индекс10],0)),"")</f>
        <v/>
      </c>
      <c r="AB15" s="114" t="str">
        <f>IFERROR(INDEX(Расходка[Наименование расходного материала],MATCH(Расходка[[#This Row],[№]],Поиск_расходки[Индекс11],0)),"")</f>
        <v/>
      </c>
      <c r="AC15" s="114" t="str">
        <f>IFERROR(INDEX(Расходка[Наименование расходного материала],MATCH(Расходка[[#This Row],[№]],Поиск_расходки[Индекс12],0)),"")</f>
        <v>BasixCOMPAK</v>
      </c>
      <c r="AD15" s="114" t="str">
        <f>IFERROR(INDEX(Расходка[Наименование расходного материала],MATCH(Расходка[[#This Row],[№]],Поиск_расходки[Индекс13],0)),"")</f>
        <v>BasixCOMPAK</v>
      </c>
      <c r="AF15" s="4" t="s">
        <v>5</v>
      </c>
      <c r="AG15" s="4" t="s">
        <v>412</v>
      </c>
      <c r="AI15" t="s">
        <v>94</v>
      </c>
    </row>
    <row r="16" spans="1:42">
      <c r="A16">
        <f>ROW(Расходка[[#This Row],[Тип расходного материала ]])-1</f>
        <v>15</v>
      </c>
      <c r="B16" t="s">
        <v>305</v>
      </c>
      <c r="C16" t="s">
        <v>361</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0</v>
      </c>
      <c r="H16" s="115">
        <f>IF(ISNUMBER(SEARCH('Карта учёта'!$B$16,Расходка[[#This Row],[Наименование расходного материала]])),MAX($H$1:H15)+1,0)</f>
        <v>0</v>
      </c>
      <c r="I16" s="115">
        <f>IF(ISNUMBER(SEARCH('Карта учёта'!$B$17,Расходка[[#This Row],[Наименование расходного материала]])),MAX($I$1:I15)+1,0)</f>
        <v>0</v>
      </c>
      <c r="J16" s="115">
        <f>IF(ISNUMBER(SEARCH('Карта учёта'!$B$18,Расходка[[#This Row],[Наименование расходного материала]])),MAX($J$1:J15)+1,0)</f>
        <v>0</v>
      </c>
      <c r="K16" s="115">
        <f>IF(ISNUMBER(SEARCH('Карта учёта'!$B$19,Расходка[[#This Row],[Наименование расходного материала]])),MAX($K$1:K15)+1,0)</f>
        <v>0</v>
      </c>
      <c r="L16" s="115">
        <f>IF(ISNUMBER(SEARCH('Карта учёта'!$B$20,Расходка[[#This Row],[Наименование расходного материала]])),MAX($L$1:L15)+1,0)</f>
        <v>0</v>
      </c>
      <c r="M16" s="115">
        <f>IF(ISNUMBER(SEARCH('Карта учёта'!$B$21,Расходка[[#This Row],[Наименование расходного материала]])),MAX($M$1:M15)+1,0)</f>
        <v>0</v>
      </c>
      <c r="N16" s="115">
        <f>IF(ISNUMBER(SEARCH('Карта учёта'!$B$22,Расходка[[#This Row],[Наименование расходного материала]])),MAX($N$1:N15)+1,0)</f>
        <v>0</v>
      </c>
      <c r="O16" s="115">
        <f>IF(ISNUMBER(SEARCH('Карта учёта'!$B$23,Расходка[[#This Row],[Наименование расходного материала]])),MAX($O$1:O15)+1,0)</f>
        <v>0</v>
      </c>
      <c r="P16" s="115">
        <f>IF(ISNUMBER(SEARCH('Карта учёта'!$B$24,Расходка[[#This Row],[Наименование расходного материала]])),MAX($P$1:P15)+1,0)</f>
        <v>15</v>
      </c>
      <c r="Q16" s="115">
        <f>IF(ISNUMBER(SEARCH('Карта учёта'!$B$25,Расходка[[#This Row],[Наименование расходного материала]])),MAX($Q$1:Q15)+1,0)</f>
        <v>15</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
      </c>
      <c r="U16" s="114" t="str">
        <f>IFERROR(INDEX(Расходка[Наименование расходного материала],MATCH(Расходка[[#This Row],[№]],Поиск_расходки[Индекс4],0)),"")</f>
        <v/>
      </c>
      <c r="V16" s="114" t="str">
        <f>IFERROR(INDEX(Расходка[Наименование расходного материала],MATCH(Расходка[[#This Row],[№]],Поиск_расходки[Индекс5],0)),"")</f>
        <v/>
      </c>
      <c r="W16" s="114" t="str">
        <f>IFERROR(INDEX(Расходка[Наименование расходного материала],MATCH(Расходка[[#This Row],[№]],Поиск_расходки[Индекс6],0)),"")</f>
        <v/>
      </c>
      <c r="X16" s="114" t="str">
        <f>IFERROR(INDEX(Расходка[Наименование расходного материала],MATCH(Расходка[[#This Row],[№]],Поиск_расходки[Индекс7],0)),"")</f>
        <v/>
      </c>
      <c r="Y16" s="114" t="str">
        <f>IFERROR(INDEX(Расходка[Наименование расходного материала],MATCH(Расходка[[#This Row],[№]],Поиск_расходки[Индекс8],0)),"")</f>
        <v/>
      </c>
      <c r="Z16" s="114" t="str">
        <f>IFERROR(INDEX(Расходка[Наименование расходного материала],MATCH(Расходка[[#This Row],[№]],Поиск_расходки[Индекс9],0)),"")</f>
        <v/>
      </c>
      <c r="AA16" s="114" t="str">
        <f>IFERROR(INDEX(Расходка[Наименование расходного материала],MATCH(Расходка[[#This Row],[№]],Поиск_расходки[Индекс10],0)),"")</f>
        <v/>
      </c>
      <c r="AB16" s="114" t="str">
        <f>IFERROR(INDEX(Расходка[Наименование расходного материала],MATCH(Расходка[[#This Row],[№]],Поиск_расходки[Индекс11],0)),"")</f>
        <v/>
      </c>
      <c r="AC16" s="114" t="str">
        <f>IFERROR(INDEX(Расходка[Наименование расходного материала],MATCH(Расходка[[#This Row],[№]],Поиск_расходки[Индекс12],0)),"")</f>
        <v>BasixTOUCH</v>
      </c>
      <c r="AD16" s="114" t="str">
        <f>IFERROR(INDEX(Расходка[Наименование расходного материала],MATCH(Расходка[[#This Row],[№]],Поиск_расходки[Индекс13],0)),"")</f>
        <v>BasixTOUCH</v>
      </c>
      <c r="AF16" s="4" t="s">
        <v>5</v>
      </c>
      <c r="AG16" s="4" t="s">
        <v>413</v>
      </c>
      <c r="AI16" t="s">
        <v>305</v>
      </c>
    </row>
    <row r="17" spans="1:35">
      <c r="A17">
        <f>ROW(Расходка[[#This Row],[Тип расходного материала ]])-1</f>
        <v>16</v>
      </c>
      <c r="B17" t="s">
        <v>305</v>
      </c>
      <c r="C17" t="s">
        <v>353</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0</v>
      </c>
      <c r="H17" s="115">
        <f>IF(ISNUMBER(SEARCH('Карта учёта'!$B$16,Расходка[[#This Row],[Наименование расходного материала]])),MAX($H$1:H16)+1,0)</f>
        <v>0</v>
      </c>
      <c r="I17" s="115">
        <f>IF(ISNUMBER(SEARCH('Карта учёта'!$B$17,Расходка[[#This Row],[Наименование расходного материала]])),MAX($I$1:I16)+1,0)</f>
        <v>0</v>
      </c>
      <c r="J17" s="115">
        <f>IF(ISNUMBER(SEARCH('Карта учёта'!$B$18,Расходка[[#This Row],[Наименование расходного материала]])),MAX($J$1:J16)+1,0)</f>
        <v>0</v>
      </c>
      <c r="K17" s="115">
        <f>IF(ISNUMBER(SEARCH('Карта учёта'!$B$19,Расходка[[#This Row],[Наименование расходного материала]])),MAX($K$1:K16)+1,0)</f>
        <v>0</v>
      </c>
      <c r="L17" s="115">
        <f>IF(ISNUMBER(SEARCH('Карта учёта'!$B$20,Расходка[[#This Row],[Наименование расходного материала]])),MAX($L$1:L16)+1,0)</f>
        <v>0</v>
      </c>
      <c r="M17" s="115">
        <f>IF(ISNUMBER(SEARCH('Карта учёта'!$B$21,Расходка[[#This Row],[Наименование расходного материала]])),MAX($M$1:M16)+1,0)</f>
        <v>0</v>
      </c>
      <c r="N17" s="115">
        <f>IF(ISNUMBER(SEARCH('Карта учёта'!$B$22,Расходка[[#This Row],[Наименование расходного материала]])),MAX($N$1:N16)+1,0)</f>
        <v>0</v>
      </c>
      <c r="O17" s="115">
        <f>IF(ISNUMBER(SEARCH('Карта учёта'!$B$23,Расходка[[#This Row],[Наименование расходного материала]])),MAX($O$1:O16)+1,0)</f>
        <v>0</v>
      </c>
      <c r="P17" s="115">
        <f>IF(ISNUMBER(SEARCH('Карта учёта'!$B$24,Расходка[[#This Row],[Наименование расходного материала]])),MAX($P$1:P16)+1,0)</f>
        <v>16</v>
      </c>
      <c r="Q17" s="115">
        <f>IF(ISNUMBER(SEARCH('Карта учёта'!$B$25,Расходка[[#This Row],[Наименование расходного материала]])),MAX($Q$1:Q16)+1,0)</f>
        <v>16</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
      </c>
      <c r="U17" s="114" t="str">
        <f>IFERROR(INDEX(Расходка[Наименование расходного материала],MATCH(Расходка[[#This Row],[№]],Поиск_расходки[Индекс4],0)),"")</f>
        <v/>
      </c>
      <c r="V17" s="114" t="str">
        <f>IFERROR(INDEX(Расходка[Наименование расходного материала],MATCH(Расходка[[#This Row],[№]],Поиск_расходки[Индекс5],0)),"")</f>
        <v/>
      </c>
      <c r="W17" s="114" t="str">
        <f>IFERROR(INDEX(Расходка[Наименование расходного материала],MATCH(Расходка[[#This Row],[№]],Поиск_расходки[Индекс6],0)),"")</f>
        <v/>
      </c>
      <c r="X17" s="114" t="str">
        <f>IFERROR(INDEX(Расходка[Наименование расходного материала],MATCH(Расходка[[#This Row],[№]],Поиск_расходки[Индекс7],0)),"")</f>
        <v/>
      </c>
      <c r="Y17" s="114" t="str">
        <f>IFERROR(INDEX(Расходка[Наименование расходного материала],MATCH(Расходка[[#This Row],[№]],Поиск_расходки[Индекс8],0)),"")</f>
        <v/>
      </c>
      <c r="Z17" s="114" t="str">
        <f>IFERROR(INDEX(Расходка[Наименование расходного материала],MATCH(Расходка[[#This Row],[№]],Поиск_расходки[Индекс9],0)),"")</f>
        <v/>
      </c>
      <c r="AA17" s="114" t="str">
        <f>IFERROR(INDEX(Расходка[Наименование расходного материала],MATCH(Расходка[[#This Row],[№]],Поиск_расходки[Индекс10],0)),"")</f>
        <v/>
      </c>
      <c r="AB17" s="114" t="str">
        <f>IFERROR(INDEX(Расходка[Наименование расходного материала],MATCH(Расходка[[#This Row],[№]],Поиск_расходки[Индекс11],0)),"")</f>
        <v/>
      </c>
      <c r="AC17" s="114" t="str">
        <f>IFERROR(INDEX(Расходка[Наименование расходного материала],MATCH(Расходка[[#This Row],[№]],Поиск_расходки[Индекс12],0)),"")</f>
        <v>Dolphin</v>
      </c>
      <c r="AD17" s="114" t="str">
        <f>IFERROR(INDEX(Расходка[Наименование расходного материала],MATCH(Расходка[[#This Row],[№]],Поиск_расходки[Индекс13],0)),"")</f>
        <v>Dolphin</v>
      </c>
      <c r="AF17" s="4" t="s">
        <v>5</v>
      </c>
      <c r="AG17" s="4" t="s">
        <v>414</v>
      </c>
      <c r="AI17" t="s">
        <v>206</v>
      </c>
    </row>
    <row r="18" spans="1:35">
      <c r="A18">
        <f>ROW(Расходка[[#This Row],[Тип расходного материала ]])-1</f>
        <v>17</v>
      </c>
      <c r="B18" t="s">
        <v>305</v>
      </c>
      <c r="C18" t="s">
        <v>374</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0</v>
      </c>
      <c r="H18" s="115">
        <f>IF(ISNUMBER(SEARCH('Карта учёта'!$B$16,Расходка[[#This Row],[Наименование расходного материала]])),MAX($H$1:H17)+1,0)</f>
        <v>0</v>
      </c>
      <c r="I18" s="115">
        <f>IF(ISNUMBER(SEARCH('Карта учёта'!$B$17,Расходка[[#This Row],[Наименование расходного материала]])),MAX($I$1:I17)+1,0)</f>
        <v>0</v>
      </c>
      <c r="J18" s="115">
        <f>IF(ISNUMBER(SEARCH('Карта учёта'!$B$18,Расходка[[#This Row],[Наименование расходного материала]])),MAX($J$1:J17)+1,0)</f>
        <v>0</v>
      </c>
      <c r="K18" s="115">
        <f>IF(ISNUMBER(SEARCH('Карта учёта'!$B$19,Расходка[[#This Row],[Наименование расходного материала]])),MAX($K$1:K17)+1,0)</f>
        <v>0</v>
      </c>
      <c r="L18" s="115">
        <f>IF(ISNUMBER(SEARCH('Карта учёта'!$B$20,Расходка[[#This Row],[Наименование расходного материала]])),MAX($L$1:L17)+1,0)</f>
        <v>0</v>
      </c>
      <c r="M18" s="115">
        <f>IF(ISNUMBER(SEARCH('Карта учёта'!$B$21,Расходка[[#This Row],[Наименование расходного материала]])),MAX($M$1:M17)+1,0)</f>
        <v>0</v>
      </c>
      <c r="N18" s="115">
        <f>IF(ISNUMBER(SEARCH('Карта учёта'!$B$22,Расходка[[#This Row],[Наименование расходного материала]])),MAX($N$1:N17)+1,0)</f>
        <v>0</v>
      </c>
      <c r="O18" s="115">
        <f>IF(ISNUMBER(SEARCH('Карта учёта'!$B$23,Расходка[[#This Row],[Наименование расходного материала]])),MAX($O$1:O17)+1,0)</f>
        <v>0</v>
      </c>
      <c r="P18" s="115">
        <f>IF(ISNUMBER(SEARCH('Карта учёта'!$B$24,Расходка[[#This Row],[Наименование расходного материала]])),MAX($P$1:P17)+1,0)</f>
        <v>17</v>
      </c>
      <c r="Q18" s="115">
        <f>IF(ISNUMBER(SEARCH('Карта учёта'!$B$25,Расходка[[#This Row],[Наименование расходного материала]])),MAX($Q$1:Q17)+1,0)</f>
        <v>17</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
      </c>
      <c r="U18" s="114" t="str">
        <f>IFERROR(INDEX(Расходка[Наименование расходного материала],MATCH(Расходка[[#This Row],[№]],Поиск_расходки[Индекс4],0)),"")</f>
        <v/>
      </c>
      <c r="V18" s="114" t="str">
        <f>IFERROR(INDEX(Расходка[Наименование расходного материала],MATCH(Расходка[[#This Row],[№]],Поиск_расходки[Индекс5],0)),"")</f>
        <v/>
      </c>
      <c r="W18" s="114" t="str">
        <f>IFERROR(INDEX(Расходка[Наименование расходного материала],MATCH(Расходка[[#This Row],[№]],Поиск_расходки[Индекс6],0)),"")</f>
        <v/>
      </c>
      <c r="X18" s="114" t="str">
        <f>IFERROR(INDEX(Расходка[Наименование расходного материала],MATCH(Расходка[[#This Row],[№]],Поиск_расходки[Индекс7],0)),"")</f>
        <v/>
      </c>
      <c r="Y18" s="114" t="str">
        <f>IFERROR(INDEX(Расходка[Наименование расходного материала],MATCH(Расходка[[#This Row],[№]],Поиск_расходки[Индекс8],0)),"")</f>
        <v/>
      </c>
      <c r="Z18" s="114" t="str">
        <f>IFERROR(INDEX(Расходка[Наименование расходного материала],MATCH(Расходка[[#This Row],[№]],Поиск_расходки[Индекс9],0)),"")</f>
        <v/>
      </c>
      <c r="AA18" s="114" t="str">
        <f>IFERROR(INDEX(Расходка[Наименование расходного материала],MATCH(Расходка[[#This Row],[№]],Поиск_расходки[Индекс10],0)),"")</f>
        <v/>
      </c>
      <c r="AB18" s="114" t="str">
        <f>IFERROR(INDEX(Расходка[Наименование расходного материала],MATCH(Расходка[[#This Row],[№]],Поиск_расходки[Индекс11],0)),"")</f>
        <v/>
      </c>
      <c r="AC18" s="114" t="str">
        <f>IFERROR(INDEX(Расходка[Наименование расходного материала],MATCH(Расходка[[#This Row],[№]],Поиск_расходки[Индекс12],0)),"")</f>
        <v>Lepu Medical</v>
      </c>
      <c r="AD18" s="114" t="str">
        <f>IFERROR(INDEX(Расходка[Наименование расходного материала],MATCH(Расходка[[#This Row],[№]],Поиск_расходки[Индекс13],0)),"")</f>
        <v>Lepu Medical</v>
      </c>
      <c r="AF18" s="4" t="s">
        <v>5</v>
      </c>
      <c r="AG18" s="4" t="s">
        <v>415</v>
      </c>
      <c r="AI18" t="s">
        <v>95</v>
      </c>
    </row>
    <row r="19" spans="1:35">
      <c r="A19">
        <f>ROW(Расходка[[#This Row],[Тип расходного материала ]])-1</f>
        <v>18</v>
      </c>
      <c r="B19" t="s">
        <v>305</v>
      </c>
      <c r="C19" t="s">
        <v>366</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0</v>
      </c>
      <c r="H19" s="115">
        <f>IF(ISNUMBER(SEARCH('Карта учёта'!$B$16,Расходка[[#This Row],[Наименование расходного материала]])),MAX($H$1:H18)+1,0)</f>
        <v>0</v>
      </c>
      <c r="I19" s="115">
        <f>IF(ISNUMBER(SEARCH('Карта учёта'!$B$17,Расходка[[#This Row],[Наименование расходного материала]])),MAX($I$1:I18)+1,0)</f>
        <v>0</v>
      </c>
      <c r="J19" s="115">
        <f>IF(ISNUMBER(SEARCH('Карта учёта'!$B$18,Расходка[[#This Row],[Наименование расходного материала]])),MAX($J$1:J18)+1,0)</f>
        <v>0</v>
      </c>
      <c r="K19" s="115">
        <f>IF(ISNUMBER(SEARCH('Карта учёта'!$B$19,Расходка[[#This Row],[Наименование расходного материала]])),MAX($K$1:K18)+1,0)</f>
        <v>0</v>
      </c>
      <c r="L19" s="115">
        <f>IF(ISNUMBER(SEARCH('Карта учёта'!$B$20,Расходка[[#This Row],[Наименование расходного материала]])),MAX($L$1:L18)+1,0)</f>
        <v>0</v>
      </c>
      <c r="M19" s="115">
        <f>IF(ISNUMBER(SEARCH('Карта учёта'!$B$21,Расходка[[#This Row],[Наименование расходного материала]])),MAX($M$1:M18)+1,0)</f>
        <v>0</v>
      </c>
      <c r="N19" s="115">
        <f>IF(ISNUMBER(SEARCH('Карта учёта'!$B$22,Расходка[[#This Row],[Наименование расходного материала]])),MAX($N$1:N18)+1,0)</f>
        <v>0</v>
      </c>
      <c r="O19" s="115">
        <f>IF(ISNUMBER(SEARCH('Карта учёта'!$B$23,Расходка[[#This Row],[Наименование расходного материала]])),MAX($O$1:O18)+1,0)</f>
        <v>0</v>
      </c>
      <c r="P19" s="115">
        <f>IF(ISNUMBER(SEARCH('Карта учёта'!$B$24,Расходка[[#This Row],[Наименование расходного материала]])),MAX($P$1:P18)+1,0)</f>
        <v>18</v>
      </c>
      <c r="Q19" s="115">
        <f>IF(ISNUMBER(SEARCH('Карта учёта'!$B$25,Расходка[[#This Row],[Наименование расходного материала]])),MAX($Q$1:Q18)+1,0)</f>
        <v>18</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
      </c>
      <c r="U19" s="114" t="str">
        <f>IFERROR(INDEX(Расходка[Наименование расходного материала],MATCH(Расходка[[#This Row],[№]],Поиск_расходки[Индекс4],0)),"")</f>
        <v/>
      </c>
      <c r="V19" s="114" t="str">
        <f>IFERROR(INDEX(Расходка[Наименование расходного материала],MATCH(Расходка[[#This Row],[№]],Поиск_расходки[Индекс5],0)),"")</f>
        <v/>
      </c>
      <c r="W19" s="114" t="str">
        <f>IFERROR(INDEX(Расходка[Наименование расходного материала],MATCH(Расходка[[#This Row],[№]],Поиск_расходки[Индекс6],0)),"")</f>
        <v/>
      </c>
      <c r="X19" s="114" t="str">
        <f>IFERROR(INDEX(Расходка[Наименование расходного материала],MATCH(Расходка[[#This Row],[№]],Поиск_расходки[Индекс7],0)),"")</f>
        <v/>
      </c>
      <c r="Y19" s="114" t="str">
        <f>IFERROR(INDEX(Расходка[Наименование расходного материала],MATCH(Расходка[[#This Row],[№]],Поиск_расходки[Индекс8],0)),"")</f>
        <v/>
      </c>
      <c r="Z19" s="114" t="str">
        <f>IFERROR(INDEX(Расходка[Наименование расходного материала],MATCH(Расходка[[#This Row],[№]],Поиск_расходки[Индекс9],0)),"")</f>
        <v/>
      </c>
      <c r="AA19" s="114" t="str">
        <f>IFERROR(INDEX(Расходка[Наименование расходного материала],MATCH(Расходка[[#This Row],[№]],Поиск_расходки[Индекс10],0)),"")</f>
        <v/>
      </c>
      <c r="AB19" s="114" t="str">
        <f>IFERROR(INDEX(Расходка[Наименование расходного материала],MATCH(Расходка[[#This Row],[№]],Поиск_расходки[Индекс11],0)),"")</f>
        <v/>
      </c>
      <c r="AC19" s="114" t="str">
        <f>IFERROR(INDEX(Расходка[Наименование расходного материала],MATCH(Расходка[[#This Row],[№]],Поиск_расходки[Индекс12],0)),"")</f>
        <v>Perouse Medical FLAMINGO</v>
      </c>
      <c r="AD19" s="114" t="str">
        <f>IFERROR(INDEX(Расходка[Наименование расходного материала],MATCH(Расходка[[#This Row],[№]],Поиск_расходки[Индекс13],0)),"")</f>
        <v>Perouse Medical FLAMINGO</v>
      </c>
      <c r="AF19" s="4" t="s">
        <v>5</v>
      </c>
      <c r="AG19" s="4" t="s">
        <v>416</v>
      </c>
      <c r="AI19" t="s">
        <v>301</v>
      </c>
    </row>
    <row r="20" spans="1:35">
      <c r="A20">
        <f>ROW(Расходка[[#This Row],[Тип расходного материала ]])-1</f>
        <v>19</v>
      </c>
      <c r="B20" t="s">
        <v>305</v>
      </c>
      <c r="C20" t="s">
        <v>503</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0</v>
      </c>
      <c r="H20" s="115">
        <f>IF(ISNUMBER(SEARCH('Карта учёта'!$B$16,Расходка[[#This Row],[Наименование расходного материала]])),MAX($H$1:H19)+1,0)</f>
        <v>0</v>
      </c>
      <c r="I20" s="115">
        <f>IF(ISNUMBER(SEARCH('Карта учёта'!$B$17,Расходка[[#This Row],[Наименование расходного материала]])),MAX($I$1:I19)+1,0)</f>
        <v>0</v>
      </c>
      <c r="J20" s="115">
        <f>IF(ISNUMBER(SEARCH('Карта учёта'!$B$18,Расходка[[#This Row],[Наименование расходного материала]])),MAX($J$1:J19)+1,0)</f>
        <v>0</v>
      </c>
      <c r="K20" s="115">
        <f>IF(ISNUMBER(SEARCH('Карта учёта'!$B$19,Расходка[[#This Row],[Наименование расходного материала]])),MAX($K$1:K19)+1,0)</f>
        <v>0</v>
      </c>
      <c r="L20" s="115">
        <f>IF(ISNUMBER(SEARCH('Карта учёта'!$B$20,Расходка[[#This Row],[Наименование расходного материала]])),MAX($L$1:L19)+1,0)</f>
        <v>0</v>
      </c>
      <c r="M20" s="115">
        <f>IF(ISNUMBER(SEARCH('Карта учёта'!$B$21,Расходка[[#This Row],[Наименование расходного материала]])),MAX($M$1:M19)+1,0)</f>
        <v>0</v>
      </c>
      <c r="N20" s="115">
        <f>IF(ISNUMBER(SEARCH('Карта учёта'!$B$22,Расходка[[#This Row],[Наименование расходного материала]])),MAX($N$1:N19)+1,0)</f>
        <v>0</v>
      </c>
      <c r="O20" s="115">
        <f>IF(ISNUMBER(SEARCH('Карта учёта'!$B$23,Расходка[[#This Row],[Наименование расходного материала]])),MAX($O$1:O19)+1,0)</f>
        <v>0</v>
      </c>
      <c r="P20" s="115">
        <f>IF(ISNUMBER(SEARCH('Карта учёта'!$B$24,Расходка[[#This Row],[Наименование расходного материала]])),MAX($P$1:P19)+1,0)</f>
        <v>19</v>
      </c>
      <c r="Q20" s="115">
        <f>IF(ISNUMBER(SEARCH('Карта учёта'!$B$25,Расходка[[#This Row],[Наименование расходного материала]])),MAX($Q$1:Q19)+1,0)</f>
        <v>19</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
      </c>
      <c r="U20" s="114" t="str">
        <f>IFERROR(INDEX(Расходка[Наименование расходного материала],MATCH(Расходка[[#This Row],[№]],Поиск_расходки[Индекс4],0)),"")</f>
        <v/>
      </c>
      <c r="V20" s="114" t="str">
        <f>IFERROR(INDEX(Расходка[Наименование расходного материала],MATCH(Расходка[[#This Row],[№]],Поиск_расходки[Индекс5],0)),"")</f>
        <v/>
      </c>
      <c r="W20" s="114" t="str">
        <f>IFERROR(INDEX(Расходка[Наименование расходного материала],MATCH(Расходка[[#This Row],[№]],Поиск_расходки[Индекс6],0)),"")</f>
        <v/>
      </c>
      <c r="X20" s="114" t="str">
        <f>IFERROR(INDEX(Расходка[Наименование расходного материала],MATCH(Расходка[[#This Row],[№]],Поиск_расходки[Индекс7],0)),"")</f>
        <v/>
      </c>
      <c r="Y20" s="114" t="str">
        <f>IFERROR(INDEX(Расходка[Наименование расходного материала],MATCH(Расходка[[#This Row],[№]],Поиск_расходки[Индекс8],0)),"")</f>
        <v/>
      </c>
      <c r="Z20" s="114" t="str">
        <f>IFERROR(INDEX(Расходка[Наименование расходного материала],MATCH(Расходка[[#This Row],[№]],Поиск_расходки[Индекс9],0)),"")</f>
        <v/>
      </c>
      <c r="AA20" s="114" t="str">
        <f>IFERROR(INDEX(Расходка[Наименование расходного материала],MATCH(Расходка[[#This Row],[№]],Поиск_расходки[Индекс10],0)),"")</f>
        <v/>
      </c>
      <c r="AB20" s="114" t="str">
        <f>IFERROR(INDEX(Расходка[Наименование расходного материала],MATCH(Расходка[[#This Row],[№]],Поиск_расходки[Индекс11],0)),"")</f>
        <v/>
      </c>
      <c r="AC20" s="114" t="str">
        <f>IFERROR(INDEX(Расходка[Наименование расходного материала],MATCH(Расходка[[#This Row],[№]],Поиск_расходки[Индекс12],0)),"")</f>
        <v>Demax</v>
      </c>
      <c r="AD20" s="114" t="str">
        <f>IFERROR(INDEX(Расходка[Наименование расходного материала],MATCH(Расходка[[#This Row],[№]],Поиск_расходки[Индекс13],0)),"")</f>
        <v>Demax</v>
      </c>
      <c r="AF20" s="4" t="s">
        <v>5</v>
      </c>
      <c r="AG20" s="4" t="s">
        <v>417</v>
      </c>
      <c r="AI20" t="s">
        <v>307</v>
      </c>
    </row>
    <row r="21" spans="1:35">
      <c r="A21">
        <f>ROW(Расходка[[#This Row],[Тип расходного материала ]])-1</f>
        <v>20</v>
      </c>
      <c r="B21" t="s">
        <v>206</v>
      </c>
      <c r="C21" s="1" t="s">
        <v>337</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0</v>
      </c>
      <c r="H21" s="115">
        <f>IF(ISNUMBER(SEARCH('Карта учёта'!$B$16,Расходка[[#This Row],[Наименование расходного материала]])),MAX($H$1:H20)+1,0)</f>
        <v>0</v>
      </c>
      <c r="I21" s="115">
        <f>IF(ISNUMBER(SEARCH('Карта учёта'!$B$17,Расходка[[#This Row],[Наименование расходного материала]])),MAX($I$1:I20)+1,0)</f>
        <v>0</v>
      </c>
      <c r="J21" s="115">
        <f>IF(ISNUMBER(SEARCH('Карта учёта'!$B$18,Расходка[[#This Row],[Наименование расходного материала]])),MAX($J$1:J20)+1,0)</f>
        <v>0</v>
      </c>
      <c r="K21" s="115">
        <f>IF(ISNUMBER(SEARCH('Карта учёта'!$B$19,Расходка[[#This Row],[Наименование расходного материала]])),MAX($K$1:K20)+1,0)</f>
        <v>0</v>
      </c>
      <c r="L21" s="115">
        <f>IF(ISNUMBER(SEARCH('Карта учёта'!$B$20,Расходка[[#This Row],[Наименование расходного материала]])),MAX($L$1:L20)+1,0)</f>
        <v>0</v>
      </c>
      <c r="M21" s="115">
        <f>IF(ISNUMBER(SEARCH('Карта учёта'!$B$21,Расходка[[#This Row],[Наименование расходного материала]])),MAX($M$1:M20)+1,0)</f>
        <v>0</v>
      </c>
      <c r="N21" s="115">
        <f>IF(ISNUMBER(SEARCH('Карта учёта'!$B$22,Расходка[[#This Row],[Наименование расходного материала]])),MAX($N$1:N20)+1,0)</f>
        <v>0</v>
      </c>
      <c r="O21" s="115">
        <f>IF(ISNUMBER(SEARCH('Карта учёта'!$B$23,Расходка[[#This Row],[Наименование расходного материала]])),MAX($O$1:O20)+1,0)</f>
        <v>0</v>
      </c>
      <c r="P21" s="115">
        <f>IF(ISNUMBER(SEARCH('Карта учёта'!$B$24,Расходка[[#This Row],[Наименование расходного материала]])),MAX($P$1:P20)+1,0)</f>
        <v>20</v>
      </c>
      <c r="Q21" s="115">
        <f>IF(ISNUMBER(SEARCH('Карта учёта'!$B$25,Расходка[[#This Row],[Наименование расходного материала]])),MAX($Q$1:Q20)+1,0)</f>
        <v>20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
      </c>
      <c r="U21" s="114" t="str">
        <f>IFERROR(INDEX(Расходка[Наименование расходного материала],MATCH(Расходка[[#This Row],[№]],Поиск_расходки[Индекс4],0)),"")</f>
        <v/>
      </c>
      <c r="V21" s="114" t="str">
        <f>IFERROR(INDEX(Расходка[Наименование расходного материала],MATCH(Расходка[[#This Row],[№]],Поиск_расходки[Индекс5],0)),"")</f>
        <v/>
      </c>
      <c r="W21" s="114" t="str">
        <f>IFERROR(INDEX(Расходка[Наименование расходного материала],MATCH(Расходка[[#This Row],[№]],Поиск_расходки[Индекс6],0)),"")</f>
        <v/>
      </c>
      <c r="X21" s="114" t="str">
        <f>IFERROR(INDEX(Расходка[Наименование расходного материала],MATCH(Расходка[[#This Row],[№]],Поиск_расходки[Индекс7],0)),"")</f>
        <v/>
      </c>
      <c r="Y21" s="114" t="str">
        <f>IFERROR(INDEX(Расходка[Наименование расходного материала],MATCH(Расходка[[#This Row],[№]],Поиск_расходки[Индекс8],0)),"")</f>
        <v/>
      </c>
      <c r="Z21" s="114" t="str">
        <f>IFERROR(INDEX(Расходка[Наименование расходного материала],MATCH(Расходка[[#This Row],[№]],Поиск_расходки[Индекс9],0)),"")</f>
        <v/>
      </c>
      <c r="AA21" s="114" t="str">
        <f>IFERROR(INDEX(Расходка[Наименование расходного материала],MATCH(Расходка[[#This Row],[№]],Поиск_расходки[Индекс10],0)),"")</f>
        <v/>
      </c>
      <c r="AB21" s="114" t="str">
        <f>IFERROR(INDEX(Расходка[Наименование расходного материала],MATCH(Расходка[[#This Row],[№]],Поиск_расходки[Индекс11],0)),"")</f>
        <v/>
      </c>
      <c r="AC21" s="114" t="str">
        <f>IFERROR(INDEX(Расходка[Наименование расходного материала],MATCH(Расходка[[#This Row],[№]],Поиск_расходки[Индекс12],0)),"")</f>
        <v>Oscor 7F</v>
      </c>
      <c r="AD21" s="114" t="str">
        <f>IFERROR(INDEX(Расходка[Наименование расходного материала],MATCH(Расходка[[#This Row],[№]],Поиск_расходки[Индекс13],0)),"")</f>
        <v>Oscor 7F</v>
      </c>
      <c r="AF21" s="4" t="s">
        <v>5</v>
      </c>
      <c r="AG21" s="4" t="s">
        <v>418</v>
      </c>
    </row>
    <row r="22" spans="1:35">
      <c r="A22">
        <f>ROW(Расходка[[#This Row],[Тип расходного материала ]])-1</f>
        <v>21</v>
      </c>
      <c r="B22" t="s">
        <v>305</v>
      </c>
      <c r="C22" s="1" t="s">
        <v>505</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0</v>
      </c>
      <c r="H22" s="115">
        <f>IF(ISNUMBER(SEARCH('Карта учёта'!$B$16,Расходка[[#This Row],[Наименование расходного материала]])),MAX($H$1:H21)+1,0)</f>
        <v>0</v>
      </c>
      <c r="I22" s="115">
        <f>IF(ISNUMBER(SEARCH('Карта учёта'!$B$17,Расходка[[#This Row],[Наименование расходного материала]])),MAX($I$1:I21)+1,0)</f>
        <v>0</v>
      </c>
      <c r="J22" s="115">
        <f>IF(ISNUMBER(SEARCH('Карта учёта'!$B$18,Расходка[[#This Row],[Наименование расходного материала]])),MAX($J$1:J21)+1,0)</f>
        <v>0</v>
      </c>
      <c r="K22" s="115">
        <f>IF(ISNUMBER(SEARCH('Карта учёта'!$B$19,Расходка[[#This Row],[Наименование расходного материала]])),MAX($K$1:K21)+1,0)</f>
        <v>0</v>
      </c>
      <c r="L22" s="115">
        <f>IF(ISNUMBER(SEARCH('Карта учёта'!$B$20,Расходка[[#This Row],[Наименование расходного материала]])),MAX($L$1:L21)+1,0)</f>
        <v>0</v>
      </c>
      <c r="M22" s="115">
        <f>IF(ISNUMBER(SEARCH('Карта учёта'!$B$21,Расходка[[#This Row],[Наименование расходного материала]])),MAX($M$1:M21)+1,0)</f>
        <v>0</v>
      </c>
      <c r="N22" s="115">
        <f>IF(ISNUMBER(SEARCH('Карта учёта'!$B$22,Расходка[[#This Row],[Наименование расходного материала]])),MAX($N$1:N21)+1,0)</f>
        <v>0</v>
      </c>
      <c r="O22" s="115">
        <f>IF(ISNUMBER(SEARCH('Карта учёта'!$B$23,Расходка[[#This Row],[Наименование расходного материала]])),MAX($O$1:O21)+1,0)</f>
        <v>0</v>
      </c>
      <c r="P22" s="115">
        <f>IF(ISNUMBER(SEARCH('Карта учёта'!$B$24,Расходка[[#This Row],[Наименование расходного материала]])),MAX($P$1:P21)+1,0)</f>
        <v>21</v>
      </c>
      <c r="Q22" s="115">
        <f>IF(ISNUMBER(SEARCH('Карта учёта'!$B$25,Расходка[[#This Row],[Наименование расходного материала]])),MAX($Q$1:Q21)+1,0)</f>
        <v>21</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
      </c>
      <c r="U22" s="114" t="str">
        <f>IFERROR(INDEX(Расходка[Наименование расходного материала],MATCH(Расходка[[#This Row],[№]],Поиск_расходки[Индекс4],0)),"")</f>
        <v/>
      </c>
      <c r="V22" s="114" t="str">
        <f>IFERROR(INDEX(Расходка[Наименование расходного материала],MATCH(Расходка[[#This Row],[№]],Поиск_расходки[Индекс5],0)),"")</f>
        <v/>
      </c>
      <c r="W22" s="114" t="str">
        <f>IFERROR(INDEX(Расходка[Наименование расходного материала],MATCH(Расходка[[#This Row],[№]],Поиск_расходки[Индекс6],0)),"")</f>
        <v/>
      </c>
      <c r="X22" s="114" t="str">
        <f>IFERROR(INDEX(Расходка[Наименование расходного материала],MATCH(Расходка[[#This Row],[№]],Поиск_расходки[Индекс7],0)),"")</f>
        <v/>
      </c>
      <c r="Y22" s="114" t="str">
        <f>IFERROR(INDEX(Расходка[Наименование расходного материала],MATCH(Расходка[[#This Row],[№]],Поиск_расходки[Индекс8],0)),"")</f>
        <v/>
      </c>
      <c r="Z22" s="114" t="str">
        <f>IFERROR(INDEX(Расходка[Наименование расходного материала],MATCH(Расходка[[#This Row],[№]],Поиск_расходки[Индекс9],0)),"")</f>
        <v/>
      </c>
      <c r="AA22" s="114" t="str">
        <f>IFERROR(INDEX(Расходка[Наименование расходного материала],MATCH(Расходка[[#This Row],[№]],Поиск_расходки[Индекс10],0)),"")</f>
        <v/>
      </c>
      <c r="AB22" s="114" t="str">
        <f>IFERROR(INDEX(Расходка[Наименование расходного материала],MATCH(Расходка[[#This Row],[№]],Поиск_расходки[Индекс11],0)),"")</f>
        <v/>
      </c>
      <c r="AC22" s="114" t="str">
        <f>IFERROR(INDEX(Расходка[Наименование расходного материала],MATCH(Расходка[[#This Row],[№]],Поиск_расходки[Индекс12],0)),"")</f>
        <v>"МИМ". Тюмень</v>
      </c>
      <c r="AD22" s="114" t="str">
        <f>IFERROR(INDEX(Расходка[Наименование расходного материала],MATCH(Расходка[[#This Row],[№]],Поиск_расходки[Индекс13],0)),"")</f>
        <v>"МИМ". Тюмень</v>
      </c>
      <c r="AF22" s="4" t="s">
        <v>5</v>
      </c>
      <c r="AG22" s="4" t="s">
        <v>419</v>
      </c>
    </row>
    <row r="23" spans="1:35">
      <c r="A23">
        <f>ROW(Расходка[[#This Row],[Тип расходного материала ]])-1</f>
        <v>22</v>
      </c>
      <c r="B23" t="s">
        <v>305</v>
      </c>
      <c r="C23" s="1" t="s">
        <v>507</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0</v>
      </c>
      <c r="H23" s="115">
        <f>IF(ISNUMBER(SEARCH('Карта учёта'!$B$16,Расходка[[#This Row],[Наименование расходного материала]])),MAX($H$1:H22)+1,0)</f>
        <v>0</v>
      </c>
      <c r="I23" s="115">
        <f>IF(ISNUMBER(SEARCH('Карта учёта'!$B$17,Расходка[[#This Row],[Наименование расходного материала]])),MAX($I$1:I22)+1,0)</f>
        <v>0</v>
      </c>
      <c r="J23" s="115">
        <f>IF(ISNUMBER(SEARCH('Карта учёта'!$B$18,Расходка[[#This Row],[Наименование расходного материала]])),MAX($J$1:J22)+1,0)</f>
        <v>0</v>
      </c>
      <c r="K23" s="115">
        <f>IF(ISNUMBER(SEARCH('Карта учёта'!$B$19,Расходка[[#This Row],[Наименование расходного материала]])),MAX($K$1:K22)+1,0)</f>
        <v>0</v>
      </c>
      <c r="L23" s="115">
        <f>IF(ISNUMBER(SEARCH('Карта учёта'!$B$20,Расходка[[#This Row],[Наименование расходного материала]])),MAX($L$1:L22)+1,0)</f>
        <v>0</v>
      </c>
      <c r="M23" s="115">
        <f>IF(ISNUMBER(SEARCH('Карта учёта'!$B$21,Расходка[[#This Row],[Наименование расходного материала]])),MAX($M$1:M22)+1,0)</f>
        <v>0</v>
      </c>
      <c r="N23" s="115">
        <f>IF(ISNUMBER(SEARCH('Карта учёта'!$B$22,Расходка[[#This Row],[Наименование расходного материала]])),MAX($N$1:N22)+1,0)</f>
        <v>0</v>
      </c>
      <c r="O23" s="115">
        <f>IF(ISNUMBER(SEARCH('Карта учёта'!$B$23,Расходка[[#This Row],[Наименование расходного материала]])),MAX($O$1:O22)+1,0)</f>
        <v>0</v>
      </c>
      <c r="P23" s="115">
        <f>IF(ISNUMBER(SEARCH('Карта учёта'!$B$24,Расходка[[#This Row],[Наименование расходного материала]])),MAX($P$1:P22)+1,0)</f>
        <v>22</v>
      </c>
      <c r="Q23" s="115">
        <f>IF(ISNUMBER(SEARCH('Карта учёта'!$B$25,Расходка[[#This Row],[Наименование расходного материала]])),MAX($Q$1:Q22)+1,0)</f>
        <v>22</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
      </c>
      <c r="U23" s="114" t="str">
        <f>IFERROR(INDEX(Расходка[Наименование расходного материала],MATCH(Расходка[[#This Row],[№]],Поиск_расходки[Индекс4],0)),"")</f>
        <v/>
      </c>
      <c r="V23" s="114" t="str">
        <f>IFERROR(INDEX(Расходка[Наименование расходного материала],MATCH(Расходка[[#This Row],[№]],Поиск_расходки[Индекс5],0)),"")</f>
        <v/>
      </c>
      <c r="W23" s="114" t="str">
        <f>IFERROR(INDEX(Расходка[Наименование расходного материала],MATCH(Расходка[[#This Row],[№]],Поиск_расходки[Индекс6],0)),"")</f>
        <v/>
      </c>
      <c r="X23" s="114" t="str">
        <f>IFERROR(INDEX(Расходка[Наименование расходного материала],MATCH(Расходка[[#This Row],[№]],Поиск_расходки[Индекс7],0)),"")</f>
        <v/>
      </c>
      <c r="Y23" s="114" t="str">
        <f>IFERROR(INDEX(Расходка[Наименование расходного материала],MATCH(Расходка[[#This Row],[№]],Поиск_расходки[Индекс8],0)),"")</f>
        <v/>
      </c>
      <c r="Z23" s="114" t="str">
        <f>IFERROR(INDEX(Расходка[Наименование расходного материала],MATCH(Расходка[[#This Row],[№]],Поиск_расходки[Индекс9],0)),"")</f>
        <v/>
      </c>
      <c r="AA23" s="114" t="str">
        <f>IFERROR(INDEX(Расходка[Наименование расходного материала],MATCH(Расходка[[#This Row],[№]],Поиск_расходки[Индекс10],0)),"")</f>
        <v/>
      </c>
      <c r="AB23" s="114" t="str">
        <f>IFERROR(INDEX(Расходка[Наименование расходного материала],MATCH(Расходка[[#This Row],[№]],Поиск_расходки[Индекс11],0)),"")</f>
        <v/>
      </c>
      <c r="AC23" s="114" t="str">
        <f>IFERROR(INDEX(Расходка[Наименование расходного материала],MATCH(Расходка[[#This Row],[№]],Поиск_расходки[Индекс12],0)),"")</f>
        <v>Поток CTЗ по ТУ</v>
      </c>
      <c r="AD23" s="114" t="str">
        <f>IFERROR(INDEX(Расходка[Наименование расходного материала],MATCH(Расходка[[#This Row],[№]],Поиск_расходки[Индекс13],0)),"")</f>
        <v>Поток CTЗ по ТУ</v>
      </c>
      <c r="AF23" s="4" t="s">
        <v>5</v>
      </c>
      <c r="AG23" s="4" t="s">
        <v>420</v>
      </c>
    </row>
    <row r="24" spans="1:35">
      <c r="A24">
        <f>ROW(Расходка[[#This Row],[Тип расходного материала ]])-1</f>
        <v>23</v>
      </c>
      <c r="B24" t="s">
        <v>305</v>
      </c>
      <c r="C24" s="1" t="s">
        <v>305</v>
      </c>
      <c r="E24" s="115">
        <f>IF(ISNUMBER(SEARCH('Карта учёта'!$B$13,Расходка[[#This Row],[Наименование расходного материала]])),MAX($E$1:E23)+1,0)</f>
        <v>1</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0</v>
      </c>
      <c r="H24" s="115">
        <f>IF(ISNUMBER(SEARCH('Карта учёта'!$B$16,Расходка[[#This Row],[Наименование расходного материала]])),MAX($H$1:H23)+1,0)</f>
        <v>0</v>
      </c>
      <c r="I24" s="115">
        <f>IF(ISNUMBER(SEARCH('Карта учёта'!$B$17,Расходка[[#This Row],[Наименование расходного материала]])),MAX($I$1:I23)+1,0)</f>
        <v>0</v>
      </c>
      <c r="J24" s="115">
        <f>IF(ISNUMBER(SEARCH('Карта учёта'!$B$18,Расходка[[#This Row],[Наименование расходного материала]])),MAX($J$1:J23)+1,0)</f>
        <v>0</v>
      </c>
      <c r="K24" s="115">
        <f>IF(ISNUMBER(SEARCH('Карта учёта'!$B$19,Расходка[[#This Row],[Наименование расходного материала]])),MAX($K$1:K23)+1,0)</f>
        <v>0</v>
      </c>
      <c r="L24" s="115">
        <f>IF(ISNUMBER(SEARCH('Карта учёта'!$B$20,Расходка[[#This Row],[Наименование расходного материала]])),MAX($L$1:L23)+1,0)</f>
        <v>0</v>
      </c>
      <c r="M24" s="115">
        <f>IF(ISNUMBER(SEARCH('Карта учёта'!$B$21,Расходка[[#This Row],[Наименование расходного материала]])),MAX($M$1:M23)+1,0)</f>
        <v>0</v>
      </c>
      <c r="N24" s="115">
        <f>IF(ISNUMBER(SEARCH('Карта учёта'!$B$22,Расходка[[#This Row],[Наименование расходного материала]])),MAX($N$1:N23)+1,0)</f>
        <v>0</v>
      </c>
      <c r="O24" s="115">
        <f>IF(ISNUMBER(SEARCH('Карта учёта'!$B$23,Расходка[[#This Row],[Наименование расходного материала]])),MAX($O$1:O23)+1,0)</f>
        <v>0</v>
      </c>
      <c r="P24" s="115">
        <f>IF(ISNUMBER(SEARCH('Карта учёта'!$B$24,Расходка[[#This Row],[Наименование расходного материала]])),MAX($P$1:P23)+1,0)</f>
        <v>23</v>
      </c>
      <c r="Q24" s="115">
        <f>IF(ISNUMBER(SEARCH('Карта учёта'!$B$25,Расходка[[#This Row],[Наименование расходного материала]])),MAX($Q$1:Q23)+1,0)</f>
        <v>23</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
      </c>
      <c r="U24" s="114" t="str">
        <f>IFERROR(INDEX(Расходка[Наименование расходного материала],MATCH(Расходка[[#This Row],[№]],Поиск_расходки[Индекс4],0)),"")</f>
        <v/>
      </c>
      <c r="V24" s="114" t="str">
        <f>IFERROR(INDEX(Расходка[Наименование расходного материала],MATCH(Расходка[[#This Row],[№]],Поиск_расходки[Индекс5],0)),"")</f>
        <v/>
      </c>
      <c r="W24" s="114" t="str">
        <f>IFERROR(INDEX(Расходка[Наименование расходного материала],MATCH(Расходка[[#This Row],[№]],Поиск_расходки[Индекс6],0)),"")</f>
        <v/>
      </c>
      <c r="X24" s="114" t="str">
        <f>IFERROR(INDEX(Расходка[Наименование расходного материала],MATCH(Расходка[[#This Row],[№]],Поиск_расходки[Индекс7],0)),"")</f>
        <v/>
      </c>
      <c r="Y24" s="114" t="str">
        <f>IFERROR(INDEX(Расходка[Наименование расходного материала],MATCH(Расходка[[#This Row],[№]],Поиск_расходки[Индекс8],0)),"")</f>
        <v/>
      </c>
      <c r="Z24" s="114" t="str">
        <f>IFERROR(INDEX(Расходка[Наименование расходного материала],MATCH(Расходка[[#This Row],[№]],Поиск_расходки[Индекс9],0)),"")</f>
        <v/>
      </c>
      <c r="AA24" s="114" t="str">
        <f>IFERROR(INDEX(Расходка[Наименование расходного материала],MATCH(Расходка[[#This Row],[№]],Поиск_расходки[Индекс10],0)),"")</f>
        <v/>
      </c>
      <c r="AB24" s="114" t="str">
        <f>IFERROR(INDEX(Расходка[Наименование расходного материала],MATCH(Расходка[[#This Row],[№]],Поиск_расходки[Индекс11],0)),"")</f>
        <v/>
      </c>
      <c r="AC24" s="114" t="str">
        <f>IFERROR(INDEX(Расходка[Наименование расходного материала],MATCH(Расходка[[#This Row],[№]],Поиск_расходки[Индекс12],0)),"")</f>
        <v>Индефлятор</v>
      </c>
      <c r="AD24" s="114" t="str">
        <f>IFERROR(INDEX(Расходка[Наименование расходного материала],MATCH(Расходка[[#This Row],[№]],Поиск_расходки[Индекс13],0)),"")</f>
        <v>Индефлятор</v>
      </c>
      <c r="AF24" s="4" t="s">
        <v>5</v>
      </c>
      <c r="AG24" s="4" t="s">
        <v>421</v>
      </c>
    </row>
    <row r="25" spans="1:35">
      <c r="A25">
        <f>ROW(Расходка[[#This Row],[Тип расходного материала ]])-1</f>
        <v>24</v>
      </c>
      <c r="B25" t="s">
        <v>3</v>
      </c>
      <c r="C25" t="s">
        <v>320</v>
      </c>
      <c r="E25" s="115">
        <f>IF(ISNUMBER(SEARCH('Карта учёта'!$B$13,Расходка[[#This Row],[Наименование расходного материала]])),MAX($E$1:E24)+1,0)</f>
        <v>0</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0</v>
      </c>
      <c r="H25" s="115">
        <f>IF(ISNUMBER(SEARCH('Карта учёта'!$B$16,Расходка[[#This Row],[Наименование расходного материала]])),MAX($H$1:H24)+1,0)</f>
        <v>0</v>
      </c>
      <c r="I25" s="115">
        <f>IF(ISNUMBER(SEARCH('Карта учёта'!$B$17,Расходка[[#This Row],[Наименование расходного материала]])),MAX($I$1:I24)+1,0)</f>
        <v>0</v>
      </c>
      <c r="J25" s="115">
        <f>IF(ISNUMBER(SEARCH('Карта учёта'!$B$18,Расходка[[#This Row],[Наименование расходного материала]])),MAX($J$1:J24)+1,0)</f>
        <v>0</v>
      </c>
      <c r="K25" s="115">
        <f>IF(ISNUMBER(SEARCH('Карта учёта'!$B$19,Расходка[[#This Row],[Наименование расходного материала]])),MAX($K$1:K24)+1,0)</f>
        <v>0</v>
      </c>
      <c r="L25" s="115">
        <f>IF(ISNUMBER(SEARCH('Карта учёта'!$B$20,Расходка[[#This Row],[Наименование расходного материала]])),MAX($L$1:L24)+1,0)</f>
        <v>0</v>
      </c>
      <c r="M25" s="115">
        <f>IF(ISNUMBER(SEARCH('Карта учёта'!$B$21,Расходка[[#This Row],[Наименование расходного материала]])),MAX($M$1:M24)+1,0)</f>
        <v>0</v>
      </c>
      <c r="N25" s="115">
        <f>IF(ISNUMBER(SEARCH('Карта учёта'!$B$22,Расходка[[#This Row],[Наименование расходного материала]])),MAX($N$1:N24)+1,0)</f>
        <v>0</v>
      </c>
      <c r="O25" s="115">
        <f>IF(ISNUMBER(SEARCH('Карта учёта'!$B$23,Расходка[[#This Row],[Наименование расходного материала]])),MAX($O$1:O24)+1,0)</f>
        <v>0</v>
      </c>
      <c r="P25" s="115">
        <f>IF(ISNUMBER(SEARCH('Карта учёта'!$B$24,Расходка[[#This Row],[Наименование расходного материала]])),MAX($P$1:P24)+1,0)</f>
        <v>24</v>
      </c>
      <c r="Q25" s="115">
        <f>IF(ISNUMBER(SEARCH('Карта учёта'!$B$25,Расходка[[#This Row],[Наименование расходного материала]])),MAX($Q$1:Q24)+1,0)</f>
        <v>24</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
      </c>
      <c r="U25" s="114" t="str">
        <f>IFERROR(INDEX(Расходка[Наименование расходного материала],MATCH(Расходка[[#This Row],[№]],Поиск_расходки[Индекс4],0)),"")</f>
        <v/>
      </c>
      <c r="V25" s="114" t="str">
        <f>IFERROR(INDEX(Расходка[Наименование расходного материала],MATCH(Расходка[[#This Row],[№]],Поиск_расходки[Индекс5],0)),"")</f>
        <v/>
      </c>
      <c r="W25" s="114" t="str">
        <f>IFERROR(INDEX(Расходка[Наименование расходного материала],MATCH(Расходка[[#This Row],[№]],Поиск_расходки[Индекс6],0)),"")</f>
        <v/>
      </c>
      <c r="X25" s="114" t="str">
        <f>IFERROR(INDEX(Расходка[Наименование расходного материала],MATCH(Расходка[[#This Row],[№]],Поиск_расходки[Индекс7],0)),"")</f>
        <v/>
      </c>
      <c r="Y25" s="114" t="str">
        <f>IFERROR(INDEX(Расходка[Наименование расходного материала],MATCH(Расходка[[#This Row],[№]],Поиск_расходки[Индекс8],0)),"")</f>
        <v/>
      </c>
      <c r="Z25" s="114" t="str">
        <f>IFERROR(INDEX(Расходка[Наименование расходного материала],MATCH(Расходка[[#This Row],[№]],Поиск_расходки[Индекс9],0)),"")</f>
        <v/>
      </c>
      <c r="AA25" s="114" t="str">
        <f>IFERROR(INDEX(Расходка[Наименование расходного материала],MATCH(Расходка[[#This Row],[№]],Поиск_расходки[Индекс10],0)),"")</f>
        <v/>
      </c>
      <c r="AB25" s="114" t="str">
        <f>IFERROR(INDEX(Расходка[Наименование расходного материала],MATCH(Расходка[[#This Row],[№]],Поиск_расходки[Индекс11],0)),"")</f>
        <v/>
      </c>
      <c r="AC25" s="114" t="str">
        <f>IFERROR(INDEX(Расходка[Наименование расходного материала],MATCH(Расходка[[#This Row],[№]],Поиск_расходки[Индекс12],0)),"")</f>
        <v>Cougar LS Hydro-Track®</v>
      </c>
      <c r="AD25" s="114" t="str">
        <f>IFERROR(INDEX(Расходка[Наименование расходного материала],MATCH(Расходка[[#This Row],[№]],Поиск_расходки[Индекс13],0)),"")</f>
        <v>Cougar LS Hydro-Track®</v>
      </c>
      <c r="AF25" s="4" t="s">
        <v>5</v>
      </c>
      <c r="AG25" s="4" t="s">
        <v>422</v>
      </c>
    </row>
    <row r="26" spans="1:35">
      <c r="A26">
        <f>ROW(Расходка[[#This Row],[Тип расходного материала ]])-1</f>
        <v>25</v>
      </c>
      <c r="B26" t="s">
        <v>3</v>
      </c>
      <c r="C26" t="s">
        <v>341</v>
      </c>
      <c r="E26" s="115">
        <f>IF(ISNUMBER(SEARCH('Карта учёта'!$B$13,Расходка[[#This Row],[Наименование расходного материала]])),MAX($E$1:E25)+1,0)</f>
        <v>0</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0</v>
      </c>
      <c r="H26" s="115">
        <f>IF(ISNUMBER(SEARCH('Карта учёта'!$B$16,Расходка[[#This Row],[Наименование расходного материала]])),MAX($H$1:H25)+1,0)</f>
        <v>0</v>
      </c>
      <c r="I26" s="115">
        <f>IF(ISNUMBER(SEARCH('Карта учёта'!$B$17,Расходка[[#This Row],[Наименование расходного материала]])),MAX($I$1:I25)+1,0)</f>
        <v>0</v>
      </c>
      <c r="J26" s="115">
        <f>IF(ISNUMBER(SEARCH('Карта учёта'!$B$18,Расходка[[#This Row],[Наименование расходного материала]])),MAX($J$1:J25)+1,0)</f>
        <v>0</v>
      </c>
      <c r="K26" s="115">
        <f>IF(ISNUMBER(SEARCH('Карта учёта'!$B$19,Расходка[[#This Row],[Наименование расходного материала]])),MAX($K$1:K25)+1,0)</f>
        <v>0</v>
      </c>
      <c r="L26" s="115">
        <f>IF(ISNUMBER(SEARCH('Карта учёта'!$B$20,Расходка[[#This Row],[Наименование расходного материала]])),MAX($L$1:L25)+1,0)</f>
        <v>0</v>
      </c>
      <c r="M26" s="115">
        <f>IF(ISNUMBER(SEARCH('Карта учёта'!$B$21,Расходка[[#This Row],[Наименование расходного материала]])),MAX($M$1:M25)+1,0)</f>
        <v>0</v>
      </c>
      <c r="N26" s="115">
        <f>IF(ISNUMBER(SEARCH('Карта учёта'!$B$22,Расходка[[#This Row],[Наименование расходного материала]])),MAX($N$1:N25)+1,0)</f>
        <v>0</v>
      </c>
      <c r="O26" s="115">
        <f>IF(ISNUMBER(SEARCH('Карта учёта'!$B$23,Расходка[[#This Row],[Наименование расходного материала]])),MAX($O$1:O25)+1,0)</f>
        <v>0</v>
      </c>
      <c r="P26" s="115">
        <f>IF(ISNUMBER(SEARCH('Карта учёта'!$B$24,Расходка[[#This Row],[Наименование расходного материала]])),MAX($P$1:P25)+1,0)</f>
        <v>25</v>
      </c>
      <c r="Q26" s="115">
        <f>IF(ISNUMBER(SEARCH('Карта учёта'!$B$25,Расходка[[#This Row],[Наименование расходного материала]])),MAX($Q$1:Q25)+1,0)</f>
        <v>25</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
      </c>
      <c r="U26" s="114" t="str">
        <f>IFERROR(INDEX(Расходка[Наименование расходного материала],MATCH(Расходка[[#This Row],[№]],Поиск_расходки[Индекс4],0)),"")</f>
        <v/>
      </c>
      <c r="V26" s="114" t="str">
        <f>IFERROR(INDEX(Расходка[Наименование расходного материала],MATCH(Расходка[[#This Row],[№]],Поиск_расходки[Индекс5],0)),"")</f>
        <v/>
      </c>
      <c r="W26" s="114" t="str">
        <f>IFERROR(INDEX(Расходка[Наименование расходного материала],MATCH(Расходка[[#This Row],[№]],Поиск_расходки[Индекс6],0)),"")</f>
        <v/>
      </c>
      <c r="X26" s="114" t="str">
        <f>IFERROR(INDEX(Расходка[Наименование расходного материала],MATCH(Расходка[[#This Row],[№]],Поиск_расходки[Индекс7],0)),"")</f>
        <v/>
      </c>
      <c r="Y26" s="114" t="str">
        <f>IFERROR(INDEX(Расходка[Наименование расходного материала],MATCH(Расходка[[#This Row],[№]],Поиск_расходки[Индекс8],0)),"")</f>
        <v/>
      </c>
      <c r="Z26" s="114" t="str">
        <f>IFERROR(INDEX(Расходка[Наименование расходного материала],MATCH(Расходка[[#This Row],[№]],Поиск_расходки[Индекс9],0)),"")</f>
        <v/>
      </c>
      <c r="AA26" s="114" t="str">
        <f>IFERROR(INDEX(Расходка[Наименование расходного материала],MATCH(Расходка[[#This Row],[№]],Поиск_расходки[Индекс10],0)),"")</f>
        <v/>
      </c>
      <c r="AB26" s="114" t="str">
        <f>IFERROR(INDEX(Расходка[Наименование расходного материала],MATCH(Расходка[[#This Row],[№]],Поиск_расходки[Индекс11],0)),"")</f>
        <v/>
      </c>
      <c r="AC26" s="114" t="str">
        <f>IFERROR(INDEX(Расходка[Наименование расходного материала],MATCH(Расходка[[#This Row],[№]],Поиск_расходки[Индекс12],0)),"")</f>
        <v>Cougar XT Hydro-Track®</v>
      </c>
      <c r="AD26" s="114" t="str">
        <f>IFERROR(INDEX(Расходка[Наименование расходного материала],MATCH(Расходка[[#This Row],[№]],Поиск_расходки[Индекс13],0)),"")</f>
        <v>Cougar XT Hydro-Track®</v>
      </c>
      <c r="AF26" s="4" t="s">
        <v>5</v>
      </c>
      <c r="AG26" s="4" t="s">
        <v>423</v>
      </c>
    </row>
    <row r="27" spans="1:35">
      <c r="A27">
        <f>ROW(Расходка[[#This Row],[Тип расходного материала ]])-1</f>
        <v>26</v>
      </c>
      <c r="B27" t="s">
        <v>3</v>
      </c>
      <c r="C27" t="s">
        <v>313</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0</v>
      </c>
      <c r="H27" s="115">
        <f>IF(ISNUMBER(SEARCH('Карта учёта'!$B$16,Расходка[[#This Row],[Наименование расходного материала]])),MAX($H$1:H26)+1,0)</f>
        <v>0</v>
      </c>
      <c r="I27" s="115">
        <f>IF(ISNUMBER(SEARCH('Карта учёта'!$B$17,Расходка[[#This Row],[Наименование расходного материала]])),MAX($I$1:I26)+1,0)</f>
        <v>0</v>
      </c>
      <c r="J27" s="115">
        <f>IF(ISNUMBER(SEARCH('Карта учёта'!$B$18,Расходка[[#This Row],[Наименование расходного материала]])),MAX($J$1:J26)+1,0)</f>
        <v>0</v>
      </c>
      <c r="K27" s="115">
        <f>IF(ISNUMBER(SEARCH('Карта учёта'!$B$19,Расходка[[#This Row],[Наименование расходного материала]])),MAX($K$1:K26)+1,0)</f>
        <v>0</v>
      </c>
      <c r="L27" s="115">
        <f>IF(ISNUMBER(SEARCH('Карта учёта'!$B$20,Расходка[[#This Row],[Наименование расходного материала]])),MAX($L$1:L26)+1,0)</f>
        <v>0</v>
      </c>
      <c r="M27" s="115">
        <f>IF(ISNUMBER(SEARCH('Карта учёта'!$B$21,Расходка[[#This Row],[Наименование расходного материала]])),MAX($M$1:M26)+1,0)</f>
        <v>0</v>
      </c>
      <c r="N27" s="115">
        <f>IF(ISNUMBER(SEARCH('Карта учёта'!$B$22,Расходка[[#This Row],[Наименование расходного материала]])),MAX($N$1:N26)+1,0)</f>
        <v>0</v>
      </c>
      <c r="O27" s="115">
        <f>IF(ISNUMBER(SEARCH('Карта учёта'!$B$23,Расходка[[#This Row],[Наименование расходного материала]])),MAX($O$1:O26)+1,0)</f>
        <v>0</v>
      </c>
      <c r="P27" s="115">
        <f>IF(ISNUMBER(SEARCH('Карта учёта'!$B$24,Расходка[[#This Row],[Наименование расходного материала]])),MAX($P$1:P26)+1,0)</f>
        <v>26</v>
      </c>
      <c r="Q27" s="115">
        <f>IF(ISNUMBER(SEARCH('Карта учёта'!$B$25,Расходка[[#This Row],[Наименование расходного материала]])),MAX($Q$1:Q26)+1,0)</f>
        <v>26</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
      </c>
      <c r="U27" s="114" t="str">
        <f>IFERROR(INDEX(Расходка[Наименование расходного материала],MATCH(Расходка[[#This Row],[№]],Поиск_расходки[Индекс4],0)),"")</f>
        <v/>
      </c>
      <c r="V27" s="114" t="str">
        <f>IFERROR(INDEX(Расходка[Наименование расходного материала],MATCH(Расходка[[#This Row],[№]],Поиск_расходки[Индекс5],0)),"")</f>
        <v/>
      </c>
      <c r="W27" s="114" t="str">
        <f>IFERROR(INDEX(Расходка[Наименование расходного материала],MATCH(Расходка[[#This Row],[№]],Поиск_расходки[Индекс6],0)),"")</f>
        <v/>
      </c>
      <c r="X27" s="114" t="str">
        <f>IFERROR(INDEX(Расходка[Наименование расходного материала],MATCH(Расходка[[#This Row],[№]],Поиск_расходки[Индекс7],0)),"")</f>
        <v/>
      </c>
      <c r="Y27" s="114" t="str">
        <f>IFERROR(INDEX(Расходка[Наименование расходного материала],MATCH(Расходка[[#This Row],[№]],Поиск_расходки[Индекс8],0)),"")</f>
        <v/>
      </c>
      <c r="Z27" s="114" t="str">
        <f>IFERROR(INDEX(Расходка[Наименование расходного материала],MATCH(Расходка[[#This Row],[№]],Поиск_расходки[Индекс9],0)),"")</f>
        <v/>
      </c>
      <c r="AA27" s="114" t="str">
        <f>IFERROR(INDEX(Расходка[Наименование расходного материала],MATCH(Расходка[[#This Row],[№]],Поиск_расходки[Индекс10],0)),"")</f>
        <v/>
      </c>
      <c r="AB27" s="114" t="str">
        <f>IFERROR(INDEX(Расходка[Наименование расходного материала],MATCH(Расходка[[#This Row],[№]],Поиск_расходки[Индекс11],0)),"")</f>
        <v/>
      </c>
      <c r="AC27" s="114" t="str">
        <f>IFERROR(INDEX(Расходка[Наименование расходного материала],MATCH(Расходка[[#This Row],[№]],Поиск_расходки[Индекс12],0)),"")</f>
        <v>Fielder</v>
      </c>
      <c r="AD27" s="114" t="str">
        <f>IFERROR(INDEX(Расходка[Наименование расходного материала],MATCH(Расходка[[#This Row],[№]],Поиск_расходки[Индекс13],0)),"")</f>
        <v>Fielder</v>
      </c>
      <c r="AF27" s="4" t="s">
        <v>5</v>
      </c>
      <c r="AG27" s="4" t="s">
        <v>424</v>
      </c>
    </row>
    <row r="28" spans="1:35">
      <c r="A28">
        <f>ROW(Расходка[[#This Row],[Тип расходного материала ]])-1</f>
        <v>27</v>
      </c>
      <c r="B28" t="s">
        <v>3</v>
      </c>
      <c r="C28" t="s">
        <v>371</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0</v>
      </c>
      <c r="H28" s="115">
        <f>IF(ISNUMBER(SEARCH('Карта учёта'!$B$16,Расходка[[#This Row],[Наименование расходного материала]])),MAX($H$1:H27)+1,0)</f>
        <v>0</v>
      </c>
      <c r="I28" s="115">
        <f>IF(ISNUMBER(SEARCH('Карта учёта'!$B$17,Расходка[[#This Row],[Наименование расходного материала]])),MAX($I$1:I27)+1,0)</f>
        <v>0</v>
      </c>
      <c r="J28" s="115">
        <f>IF(ISNUMBER(SEARCH('Карта учёта'!$B$18,Расходка[[#This Row],[Наименование расходного материала]])),MAX($J$1:J27)+1,0)</f>
        <v>0</v>
      </c>
      <c r="K28" s="115">
        <f>IF(ISNUMBER(SEARCH('Карта учёта'!$B$19,Расходка[[#This Row],[Наименование расходного материала]])),MAX($K$1:K27)+1,0)</f>
        <v>0</v>
      </c>
      <c r="L28" s="115">
        <f>IF(ISNUMBER(SEARCH('Карта учёта'!$B$20,Расходка[[#This Row],[Наименование расходного материала]])),MAX($L$1:L27)+1,0)</f>
        <v>0</v>
      </c>
      <c r="M28" s="115">
        <f>IF(ISNUMBER(SEARCH('Карта учёта'!$B$21,Расходка[[#This Row],[Наименование расходного материала]])),MAX($M$1:M27)+1,0)</f>
        <v>0</v>
      </c>
      <c r="N28" s="115">
        <f>IF(ISNUMBER(SEARCH('Карта учёта'!$B$22,Расходка[[#This Row],[Наименование расходного материала]])),MAX($N$1:N27)+1,0)</f>
        <v>0</v>
      </c>
      <c r="O28" s="115">
        <f>IF(ISNUMBER(SEARCH('Карта учёта'!$B$23,Расходка[[#This Row],[Наименование расходного материала]])),MAX($O$1:O27)+1,0)</f>
        <v>0</v>
      </c>
      <c r="P28" s="115">
        <f>IF(ISNUMBER(SEARCH('Карта учёта'!$B$24,Расходка[[#This Row],[Наименование расходного материала]])),MAX($P$1:P27)+1,0)</f>
        <v>27</v>
      </c>
      <c r="Q28" s="115">
        <f>IF(ISNUMBER(SEARCH('Карта учёта'!$B$25,Расходка[[#This Row],[Наименование расходного материала]])),MAX($Q$1:Q27)+1,0)</f>
        <v>27</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
      </c>
      <c r="U28" s="114" t="str">
        <f>IFERROR(INDEX(Расходка[Наименование расходного материала],MATCH(Расходка[[#This Row],[№]],Поиск_расходки[Индекс4],0)),"")</f>
        <v/>
      </c>
      <c r="V28" s="114" t="str">
        <f>IFERROR(INDEX(Расходка[Наименование расходного материала],MATCH(Расходка[[#This Row],[№]],Поиск_расходки[Индекс5],0)),"")</f>
        <v/>
      </c>
      <c r="W28" s="114" t="str">
        <f>IFERROR(INDEX(Расходка[Наименование расходного материала],MATCH(Расходка[[#This Row],[№]],Поиск_расходки[Индекс6],0)),"")</f>
        <v/>
      </c>
      <c r="X28" s="114" t="str">
        <f>IFERROR(INDEX(Расходка[Наименование расходного материала],MATCH(Расходка[[#This Row],[№]],Поиск_расходки[Индекс7],0)),"")</f>
        <v/>
      </c>
      <c r="Y28" s="114" t="str">
        <f>IFERROR(INDEX(Расходка[Наименование расходного материала],MATCH(Расходка[[#This Row],[№]],Поиск_расходки[Индекс8],0)),"")</f>
        <v/>
      </c>
      <c r="Z28" s="114" t="str">
        <f>IFERROR(INDEX(Расходка[Наименование расходного материала],MATCH(Расходка[[#This Row],[№]],Поиск_расходки[Индекс9],0)),"")</f>
        <v/>
      </c>
      <c r="AA28" s="114" t="str">
        <f>IFERROR(INDEX(Расходка[Наименование расходного материала],MATCH(Расходка[[#This Row],[№]],Поиск_расходки[Индекс10],0)),"")</f>
        <v/>
      </c>
      <c r="AB28" s="114" t="str">
        <f>IFERROR(INDEX(Расходка[Наименование расходного материала],MATCH(Расходка[[#This Row],[№]],Поиск_расходки[Индекс11],0)),"")</f>
        <v/>
      </c>
      <c r="AC28" s="114" t="str">
        <f>IFERROR(INDEX(Расходка[Наименование расходного материала],MATCH(Расходка[[#This Row],[№]],Поиск_расходки[Индекс12],0)),"")</f>
        <v>Fielder XT-A</v>
      </c>
      <c r="AD28" s="114" t="str">
        <f>IFERROR(INDEX(Расходка[Наименование расходного материала],MATCH(Расходка[[#This Row],[№]],Поиск_расходки[Индекс13],0)),"")</f>
        <v>Fielder XT-A</v>
      </c>
      <c r="AF28" s="4" t="s">
        <v>5</v>
      </c>
      <c r="AG28" s="4" t="s">
        <v>425</v>
      </c>
    </row>
    <row r="29" spans="1:35">
      <c r="A29">
        <f>ROW(Расходка[[#This Row],[Тип расходного материала ]])-1</f>
        <v>28</v>
      </c>
      <c r="B29" t="s">
        <v>3</v>
      </c>
      <c r="C29" t="s">
        <v>372</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0</v>
      </c>
      <c r="H29" s="115">
        <f>IF(ISNUMBER(SEARCH('Карта учёта'!$B$16,Расходка[[#This Row],[Наименование расходного материала]])),MAX($H$1:H28)+1,0)</f>
        <v>0</v>
      </c>
      <c r="I29" s="115">
        <f>IF(ISNUMBER(SEARCH('Карта учёта'!$B$17,Расходка[[#This Row],[Наименование расходного материала]])),MAX($I$1:I28)+1,0)</f>
        <v>0</v>
      </c>
      <c r="J29" s="115">
        <f>IF(ISNUMBER(SEARCH('Карта учёта'!$B$18,Расходка[[#This Row],[Наименование расходного материала]])),MAX($J$1:J28)+1,0)</f>
        <v>0</v>
      </c>
      <c r="K29" s="115">
        <f>IF(ISNUMBER(SEARCH('Карта учёта'!$B$19,Расходка[[#This Row],[Наименование расходного материала]])),MAX($K$1:K28)+1,0)</f>
        <v>0</v>
      </c>
      <c r="L29" s="115">
        <f>IF(ISNUMBER(SEARCH('Карта учёта'!$B$20,Расходка[[#This Row],[Наименование расходного материала]])),MAX($L$1:L28)+1,0)</f>
        <v>0</v>
      </c>
      <c r="M29" s="115">
        <f>IF(ISNUMBER(SEARCH('Карта учёта'!$B$21,Расходка[[#This Row],[Наименование расходного материала]])),MAX($M$1:M28)+1,0)</f>
        <v>0</v>
      </c>
      <c r="N29" s="115">
        <f>IF(ISNUMBER(SEARCH('Карта учёта'!$B$22,Расходка[[#This Row],[Наименование расходного материала]])),MAX($N$1:N28)+1,0)</f>
        <v>0</v>
      </c>
      <c r="O29" s="115">
        <f>IF(ISNUMBER(SEARCH('Карта учёта'!$B$23,Расходка[[#This Row],[Наименование расходного материала]])),MAX($O$1:O28)+1,0)</f>
        <v>0</v>
      </c>
      <c r="P29" s="115">
        <f>IF(ISNUMBER(SEARCH('Карта учёта'!$B$24,Расходка[[#This Row],[Наименование расходного материала]])),MAX($P$1:P28)+1,0)</f>
        <v>28</v>
      </c>
      <c r="Q29" s="115">
        <f>IF(ISNUMBER(SEARCH('Карта учёта'!$B$25,Расходка[[#This Row],[Наименование расходного материала]])),MAX($Q$1:Q28)+1,0)</f>
        <v>28</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
      </c>
      <c r="U29" s="114" t="str">
        <f>IFERROR(INDEX(Расходка[Наименование расходного материала],MATCH(Расходка[[#This Row],[№]],Поиск_расходки[Индекс4],0)),"")</f>
        <v/>
      </c>
      <c r="V29" s="114" t="str">
        <f>IFERROR(INDEX(Расходка[Наименование расходного материала],MATCH(Расходка[[#This Row],[№]],Поиск_расходки[Индекс5],0)),"")</f>
        <v/>
      </c>
      <c r="W29" s="114" t="str">
        <f>IFERROR(INDEX(Расходка[Наименование расходного материала],MATCH(Расходка[[#This Row],[№]],Поиск_расходки[Индекс6],0)),"")</f>
        <v/>
      </c>
      <c r="X29" s="114" t="str">
        <f>IFERROR(INDEX(Расходка[Наименование расходного материала],MATCH(Расходка[[#This Row],[№]],Поиск_расходки[Индекс7],0)),"")</f>
        <v/>
      </c>
      <c r="Y29" s="114" t="str">
        <f>IFERROR(INDEX(Расходка[Наименование расходного материала],MATCH(Расходка[[#This Row],[№]],Поиск_расходки[Индекс8],0)),"")</f>
        <v/>
      </c>
      <c r="Z29" s="114" t="str">
        <f>IFERROR(INDEX(Расходка[Наименование расходного материала],MATCH(Расходка[[#This Row],[№]],Поиск_расходки[Индекс9],0)),"")</f>
        <v/>
      </c>
      <c r="AA29" s="114" t="str">
        <f>IFERROR(INDEX(Расходка[Наименование расходного материала],MATCH(Расходка[[#This Row],[№]],Поиск_расходки[Индекс10],0)),"")</f>
        <v/>
      </c>
      <c r="AB29" s="114" t="str">
        <f>IFERROR(INDEX(Расходка[Наименование расходного материала],MATCH(Расходка[[#This Row],[№]],Поиск_расходки[Индекс11],0)),"")</f>
        <v/>
      </c>
      <c r="AC29" s="114" t="str">
        <f>IFERROR(INDEX(Расходка[Наименование расходного материала],MATCH(Расходка[[#This Row],[№]],Поиск_расходки[Индекс12],0)),"")</f>
        <v>Fielder XT-R</v>
      </c>
      <c r="AD29" s="114" t="str">
        <f>IFERROR(INDEX(Расходка[Наименование расходного материала],MATCH(Расходка[[#This Row],[№]],Поиск_расходки[Индекс13],0)),"")</f>
        <v>Fielder XT-R</v>
      </c>
      <c r="AF29" s="4" t="s">
        <v>5</v>
      </c>
      <c r="AG29" s="4" t="s">
        <v>426</v>
      </c>
    </row>
    <row r="30" spans="1:35">
      <c r="A30">
        <f>ROW(Расходка[[#This Row],[Тип расходного материала ]])-1</f>
        <v>29</v>
      </c>
      <c r="B30" t="s">
        <v>3</v>
      </c>
      <c r="C30" t="s">
        <v>509</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0</v>
      </c>
      <c r="H30" s="115">
        <f>IF(ISNUMBER(SEARCH('Карта учёта'!$B$16,Расходка[[#This Row],[Наименование расходного материала]])),MAX($H$1:H29)+1,0)</f>
        <v>0</v>
      </c>
      <c r="I30" s="115">
        <f>IF(ISNUMBER(SEARCH('Карта учёта'!$B$17,Расходка[[#This Row],[Наименование расходного материала]])),MAX($I$1:I29)+1,0)</f>
        <v>0</v>
      </c>
      <c r="J30" s="115">
        <f>IF(ISNUMBER(SEARCH('Карта учёта'!$B$18,Расходка[[#This Row],[Наименование расходного материала]])),MAX($J$1:J29)+1,0)</f>
        <v>0</v>
      </c>
      <c r="K30" s="115">
        <f>IF(ISNUMBER(SEARCH('Карта учёта'!$B$19,Расходка[[#This Row],[Наименование расходного материала]])),MAX($K$1:K29)+1,0)</f>
        <v>0</v>
      </c>
      <c r="L30" s="115">
        <f>IF(ISNUMBER(SEARCH('Карта учёта'!$B$20,Расходка[[#This Row],[Наименование расходного материала]])),MAX($L$1:L29)+1,0)</f>
        <v>0</v>
      </c>
      <c r="M30" s="115">
        <f>IF(ISNUMBER(SEARCH('Карта учёта'!$B$21,Расходка[[#This Row],[Наименование расходного материала]])),MAX($M$1:M29)+1,0)</f>
        <v>0</v>
      </c>
      <c r="N30" s="115">
        <f>IF(ISNUMBER(SEARCH('Карта учёта'!$B$22,Расходка[[#This Row],[Наименование расходного материала]])),MAX($N$1:N29)+1,0)</f>
        <v>0</v>
      </c>
      <c r="O30" s="115">
        <f>IF(ISNUMBER(SEARCH('Карта учёта'!$B$23,Расходка[[#This Row],[Наименование расходного материала]])),MAX($O$1:O29)+1,0)</f>
        <v>0</v>
      </c>
      <c r="P30" s="115">
        <f>IF(ISNUMBER(SEARCH('Карта учёта'!$B$24,Расходка[[#This Row],[Наименование расходного материала]])),MAX($P$1:P29)+1,0)</f>
        <v>29</v>
      </c>
      <c r="Q30" s="115">
        <f>IF(ISNUMBER(SEARCH('Карта учёта'!$B$25,Расходка[[#This Row],[Наименование расходного материала]])),MAX($Q$1:Q29)+1,0)</f>
        <v>29</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
      </c>
      <c r="U30" s="114" t="str">
        <f>IFERROR(INDEX(Расходка[Наименование расходного материала],MATCH(Расходка[[#This Row],[№]],Поиск_расходки[Индекс4],0)),"")</f>
        <v/>
      </c>
      <c r="V30" s="114" t="str">
        <f>IFERROR(INDEX(Расходка[Наименование расходного материала],MATCH(Расходка[[#This Row],[№]],Поиск_расходки[Индекс5],0)),"")</f>
        <v/>
      </c>
      <c r="W30" s="114" t="str">
        <f>IFERROR(INDEX(Расходка[Наименование расходного материала],MATCH(Расходка[[#This Row],[№]],Поиск_расходки[Индекс6],0)),"")</f>
        <v/>
      </c>
      <c r="X30" s="114" t="str">
        <f>IFERROR(INDEX(Расходка[Наименование расходного материала],MATCH(Расходка[[#This Row],[№]],Поиск_расходки[Индекс7],0)),"")</f>
        <v/>
      </c>
      <c r="Y30" s="114" t="str">
        <f>IFERROR(INDEX(Расходка[Наименование расходного материала],MATCH(Расходка[[#This Row],[№]],Поиск_расходки[Индекс8],0)),"")</f>
        <v/>
      </c>
      <c r="Z30" s="114" t="str">
        <f>IFERROR(INDEX(Расходка[Наименование расходного материала],MATCH(Расходка[[#This Row],[№]],Поиск_расходки[Индекс9],0)),"")</f>
        <v/>
      </c>
      <c r="AA30" s="114" t="str">
        <f>IFERROR(INDEX(Расходка[Наименование расходного материала],MATCH(Расходка[[#This Row],[№]],Поиск_расходки[Индекс10],0)),"")</f>
        <v/>
      </c>
      <c r="AB30" s="114" t="str">
        <f>IFERROR(INDEX(Расходка[Наименование расходного материала],MATCH(Расходка[[#This Row],[№]],Поиск_расходки[Индекс11],0)),"")</f>
        <v/>
      </c>
      <c r="AC30" s="114" t="str">
        <f>IFERROR(INDEX(Расходка[Наименование расходного материала],MATCH(Расходка[[#This Row],[№]],Поиск_расходки[Индекс12],0)),"")</f>
        <v>Asahi Gaia First</v>
      </c>
      <c r="AD30" s="114" t="str">
        <f>IFERROR(INDEX(Расходка[Наименование расходного материала],MATCH(Расходка[[#This Row],[№]],Поиск_расходки[Индекс13],0)),"")</f>
        <v>Asahi Gaia First</v>
      </c>
      <c r="AF30" s="4" t="s">
        <v>5</v>
      </c>
      <c r="AG30" s="4" t="s">
        <v>488</v>
      </c>
    </row>
    <row r="31" spans="1:35">
      <c r="A31">
        <f>ROW(Расходка[[#This Row],[Тип расходного материала ]])-1</f>
        <v>30</v>
      </c>
      <c r="B31" t="s">
        <v>3</v>
      </c>
      <c r="C31" s="1" t="s">
        <v>510</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0</v>
      </c>
      <c r="H31" s="115">
        <f>IF(ISNUMBER(SEARCH('Карта учёта'!$B$16,Расходка[[#This Row],[Наименование расходного материала]])),MAX($H$1:H30)+1,0)</f>
        <v>0</v>
      </c>
      <c r="I31" s="115">
        <f>IF(ISNUMBER(SEARCH('Карта учёта'!$B$17,Расходка[[#This Row],[Наименование расходного материала]])),MAX($I$1:I30)+1,0)</f>
        <v>0</v>
      </c>
      <c r="J31" s="115">
        <f>IF(ISNUMBER(SEARCH('Карта учёта'!$B$18,Расходка[[#This Row],[Наименование расходного материала]])),MAX($J$1:J30)+1,0)</f>
        <v>0</v>
      </c>
      <c r="K31" s="115">
        <f>IF(ISNUMBER(SEARCH('Карта учёта'!$B$19,Расходка[[#This Row],[Наименование расходного материала]])),MAX($K$1:K30)+1,0)</f>
        <v>0</v>
      </c>
      <c r="L31" s="115">
        <f>IF(ISNUMBER(SEARCH('Карта учёта'!$B$20,Расходка[[#This Row],[Наименование расходного материала]])),MAX($L$1:L30)+1,0)</f>
        <v>0</v>
      </c>
      <c r="M31" s="115">
        <f>IF(ISNUMBER(SEARCH('Карта учёта'!$B$21,Расходка[[#This Row],[Наименование расходного материала]])),MAX($M$1:M30)+1,0)</f>
        <v>0</v>
      </c>
      <c r="N31" s="115">
        <f>IF(ISNUMBER(SEARCH('Карта учёта'!$B$22,Расходка[[#This Row],[Наименование расходного материала]])),MAX($N$1:N30)+1,0)</f>
        <v>0</v>
      </c>
      <c r="O31" s="115">
        <f>IF(ISNUMBER(SEARCH('Карта учёта'!$B$23,Расходка[[#This Row],[Наименование расходного материала]])),MAX($O$1:O30)+1,0)</f>
        <v>0</v>
      </c>
      <c r="P31" s="115">
        <f>IF(ISNUMBER(SEARCH('Карта учёта'!$B$24,Расходка[[#This Row],[Наименование расходного материала]])),MAX($P$1:P30)+1,0)</f>
        <v>30</v>
      </c>
      <c r="Q31" s="115">
        <f>IF(ISNUMBER(SEARCH('Карта учёта'!$B$25,Расходка[[#This Row],[Наименование расходного материала]])),MAX($Q$1:Q30)+1,0)</f>
        <v>30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
      </c>
      <c r="U31" s="114" t="str">
        <f>IFERROR(INDEX(Расходка[Наименование расходного материала],MATCH(Расходка[[#This Row],[№]],Поиск_расходки[Индекс4],0)),"")</f>
        <v/>
      </c>
      <c r="V31" s="114" t="str">
        <f>IFERROR(INDEX(Расходка[Наименование расходного материала],MATCH(Расходка[[#This Row],[№]],Поиск_расходки[Индекс5],0)),"")</f>
        <v/>
      </c>
      <c r="W31" s="114" t="str">
        <f>IFERROR(INDEX(Расходка[Наименование расходного материала],MATCH(Расходка[[#This Row],[№]],Поиск_расходки[Индекс6],0)),"")</f>
        <v/>
      </c>
      <c r="X31" s="114" t="str">
        <f>IFERROR(INDEX(Расходка[Наименование расходного материала],MATCH(Расходка[[#This Row],[№]],Поиск_расходки[Индекс7],0)),"")</f>
        <v/>
      </c>
      <c r="Y31" s="114" t="str">
        <f>IFERROR(INDEX(Расходка[Наименование расходного материала],MATCH(Расходка[[#This Row],[№]],Поиск_расходки[Индекс8],0)),"")</f>
        <v/>
      </c>
      <c r="Z31" s="114" t="str">
        <f>IFERROR(INDEX(Расходка[Наименование расходного материала],MATCH(Расходка[[#This Row],[№]],Поиск_расходки[Индекс9],0)),"")</f>
        <v/>
      </c>
      <c r="AA31" s="114" t="str">
        <f>IFERROR(INDEX(Расходка[Наименование расходного материала],MATCH(Расходка[[#This Row],[№]],Поиск_расходки[Индекс10],0)),"")</f>
        <v/>
      </c>
      <c r="AB31" s="114" t="str">
        <f>IFERROR(INDEX(Расходка[Наименование расходного материала],MATCH(Расходка[[#This Row],[№]],Поиск_расходки[Индекс11],0)),"")</f>
        <v/>
      </c>
      <c r="AC31" s="114" t="str">
        <f>IFERROR(INDEX(Расходка[Наименование расходного материала],MATCH(Расходка[[#This Row],[№]],Поиск_расходки[Индекс12],0)),"")</f>
        <v>Asahi Gaia Second</v>
      </c>
      <c r="AD31" s="114" t="str">
        <f>IFERROR(INDEX(Расходка[Наименование расходного материала],MATCH(Расходка[[#This Row],[№]],Поиск_расходки[Индекс13],0)),"")</f>
        <v>Asahi Gaia Second</v>
      </c>
      <c r="AF31" s="4" t="s">
        <v>5</v>
      </c>
      <c r="AG31" s="4" t="s">
        <v>427</v>
      </c>
    </row>
    <row r="32" spans="1:35">
      <c r="A32">
        <f>ROW(Расходка[[#This Row],[Тип расходного материала ]])-1</f>
        <v>31</v>
      </c>
      <c r="B32" t="s">
        <v>3</v>
      </c>
      <c r="C32" s="1" t="s">
        <v>511</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0</v>
      </c>
      <c r="H32" s="115">
        <f>IF(ISNUMBER(SEARCH('Карта учёта'!$B$16,Расходка[[#This Row],[Наименование расходного материала]])),MAX($H$1:H31)+1,0)</f>
        <v>0</v>
      </c>
      <c r="I32" s="115">
        <f>IF(ISNUMBER(SEARCH('Карта учёта'!$B$17,Расходка[[#This Row],[Наименование расходного материала]])),MAX($I$1:I31)+1,0)</f>
        <v>0</v>
      </c>
      <c r="J32" s="115">
        <f>IF(ISNUMBER(SEARCH('Карта учёта'!$B$18,Расходка[[#This Row],[Наименование расходного материала]])),MAX($J$1:J31)+1,0)</f>
        <v>0</v>
      </c>
      <c r="K32" s="115">
        <f>IF(ISNUMBER(SEARCH('Карта учёта'!$B$19,Расходка[[#This Row],[Наименование расходного материала]])),MAX($K$1:K31)+1,0)</f>
        <v>0</v>
      </c>
      <c r="L32" s="115">
        <f>IF(ISNUMBER(SEARCH('Карта учёта'!$B$20,Расходка[[#This Row],[Наименование расходного материала]])),MAX($L$1:L31)+1,0)</f>
        <v>0</v>
      </c>
      <c r="M32" s="115">
        <f>IF(ISNUMBER(SEARCH('Карта учёта'!$B$21,Расходка[[#This Row],[Наименование расходного материала]])),MAX($M$1:M31)+1,0)</f>
        <v>0</v>
      </c>
      <c r="N32" s="115">
        <f>IF(ISNUMBER(SEARCH('Карта учёта'!$B$22,Расходка[[#This Row],[Наименование расходного материала]])),MAX($N$1:N31)+1,0)</f>
        <v>0</v>
      </c>
      <c r="O32" s="115">
        <f>IF(ISNUMBER(SEARCH('Карта учёта'!$B$23,Расходка[[#This Row],[Наименование расходного материала]])),MAX($O$1:O31)+1,0)</f>
        <v>0</v>
      </c>
      <c r="P32" s="115">
        <f>IF(ISNUMBER(SEARCH('Карта учёта'!$B$24,Расходка[[#This Row],[Наименование расходного материала]])),MAX($P$1:P31)+1,0)</f>
        <v>31</v>
      </c>
      <c r="Q32" s="115">
        <f>IF(ISNUMBER(SEARCH('Карта учёта'!$B$25,Расходка[[#This Row],[Наименование расходного материала]])),MAX($Q$1:Q31)+1,0)</f>
        <v>31</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
      </c>
      <c r="U32" s="114" t="str">
        <f>IFERROR(INDEX(Расходка[Наименование расходного материала],MATCH(Расходка[[#This Row],[№]],Поиск_расходки[Индекс4],0)),"")</f>
        <v/>
      </c>
      <c r="V32" s="114" t="str">
        <f>IFERROR(INDEX(Расходка[Наименование расходного материала],MATCH(Расходка[[#This Row],[№]],Поиск_расходки[Индекс5],0)),"")</f>
        <v/>
      </c>
      <c r="W32" s="114" t="str">
        <f>IFERROR(INDEX(Расходка[Наименование расходного материала],MATCH(Расходка[[#This Row],[№]],Поиск_расходки[Индекс6],0)),"")</f>
        <v/>
      </c>
      <c r="X32" s="114" t="str">
        <f>IFERROR(INDEX(Расходка[Наименование расходного материала],MATCH(Расходка[[#This Row],[№]],Поиск_расходки[Индекс7],0)),"")</f>
        <v/>
      </c>
      <c r="Y32" s="114" t="str">
        <f>IFERROR(INDEX(Расходка[Наименование расходного материала],MATCH(Расходка[[#This Row],[№]],Поиск_расходки[Индекс8],0)),"")</f>
        <v/>
      </c>
      <c r="Z32" s="114" t="str">
        <f>IFERROR(INDEX(Расходка[Наименование расходного материала],MATCH(Расходка[[#This Row],[№]],Поиск_расходки[Индекс9],0)),"")</f>
        <v/>
      </c>
      <c r="AA32" s="114" t="str">
        <f>IFERROR(INDEX(Расходка[Наименование расходного материала],MATCH(Расходка[[#This Row],[№]],Поиск_расходки[Индекс10],0)),"")</f>
        <v/>
      </c>
      <c r="AB32" s="114" t="str">
        <f>IFERROR(INDEX(Расходка[Наименование расходного материала],MATCH(Расходка[[#This Row],[№]],Поиск_расходки[Индекс11],0)),"")</f>
        <v/>
      </c>
      <c r="AC32" s="114" t="str">
        <f>IFERROR(INDEX(Расходка[Наименование расходного материала],MATCH(Расходка[[#This Row],[№]],Поиск_расходки[Индекс12],0)),"")</f>
        <v>Asahi Gaia Third</v>
      </c>
      <c r="AD32" s="114" t="str">
        <f>IFERROR(INDEX(Расходка[Наименование расходного материала],MATCH(Расходка[[#This Row],[№]],Поиск_расходки[Индекс13],0)),"")</f>
        <v>Asahi Gaia Third</v>
      </c>
      <c r="AF32" s="4" t="s">
        <v>5</v>
      </c>
      <c r="AG32" s="4" t="s">
        <v>428</v>
      </c>
    </row>
    <row r="33" spans="1:33">
      <c r="A33">
        <f>ROW(Расходка[[#This Row],[Тип расходного материала ]])-1</f>
        <v>32</v>
      </c>
      <c r="B33" t="s">
        <v>3</v>
      </c>
      <c r="C33" s="1" t="s">
        <v>321</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0</v>
      </c>
      <c r="H33" s="115">
        <f>IF(ISNUMBER(SEARCH('Карта учёта'!$B$16,Расходка[[#This Row],[Наименование расходного материала]])),MAX($H$1:H32)+1,0)</f>
        <v>0</v>
      </c>
      <c r="I33" s="115">
        <f>IF(ISNUMBER(SEARCH('Карта учёта'!$B$17,Расходка[[#This Row],[Наименование расходного материала]])),MAX($I$1:I32)+1,0)</f>
        <v>0</v>
      </c>
      <c r="J33" s="115">
        <f>IF(ISNUMBER(SEARCH('Карта учёта'!$B$18,Расходка[[#This Row],[Наименование расходного материала]])),MAX($J$1:J32)+1,0)</f>
        <v>0</v>
      </c>
      <c r="K33" s="115">
        <f>IF(ISNUMBER(SEARCH('Карта учёта'!$B$19,Расходка[[#This Row],[Наименование расходного материала]])),MAX($K$1:K32)+1,0)</f>
        <v>0</v>
      </c>
      <c r="L33" s="115">
        <f>IF(ISNUMBER(SEARCH('Карта учёта'!$B$20,Расходка[[#This Row],[Наименование расходного материала]])),MAX($L$1:L32)+1,0)</f>
        <v>0</v>
      </c>
      <c r="M33" s="115">
        <f>IF(ISNUMBER(SEARCH('Карта учёта'!$B$21,Расходка[[#This Row],[Наименование расходного материала]])),MAX($M$1:M32)+1,0)</f>
        <v>0</v>
      </c>
      <c r="N33" s="115">
        <f>IF(ISNUMBER(SEARCH('Карта учёта'!$B$22,Расходка[[#This Row],[Наименование расходного материала]])),MAX($N$1:N32)+1,0)</f>
        <v>0</v>
      </c>
      <c r="O33" s="115">
        <f>IF(ISNUMBER(SEARCH('Карта учёта'!$B$23,Расходка[[#This Row],[Наименование расходного материала]])),MAX($O$1:O32)+1,0)</f>
        <v>0</v>
      </c>
      <c r="P33" s="115">
        <f>IF(ISNUMBER(SEARCH('Карта учёта'!$B$24,Расходка[[#This Row],[Наименование расходного материала]])),MAX($P$1:P32)+1,0)</f>
        <v>32</v>
      </c>
      <c r="Q33" s="115">
        <f>IF(ISNUMBER(SEARCH('Карта учёта'!$B$25,Расходка[[#This Row],[Наименование расходного материала]])),MAX($Q$1:Q32)+1,0)</f>
        <v>32</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
      </c>
      <c r="U33" s="114" t="str">
        <f>IFERROR(INDEX(Расходка[Наименование расходного материала],MATCH(Расходка[[#This Row],[№]],Поиск_расходки[Индекс4],0)),"")</f>
        <v/>
      </c>
      <c r="V33" s="114" t="str">
        <f>IFERROR(INDEX(Расходка[Наименование расходного материала],MATCH(Расходка[[#This Row],[№]],Поиск_расходки[Индекс5],0)),"")</f>
        <v/>
      </c>
      <c r="W33" s="114" t="str">
        <f>IFERROR(INDEX(Расходка[Наименование расходного материала],MATCH(Расходка[[#This Row],[№]],Поиск_расходки[Индекс6],0)),"")</f>
        <v/>
      </c>
      <c r="X33" s="114" t="str">
        <f>IFERROR(INDEX(Расходка[Наименование расходного материала],MATCH(Расходка[[#This Row],[№]],Поиск_расходки[Индекс7],0)),"")</f>
        <v/>
      </c>
      <c r="Y33" s="114" t="str">
        <f>IFERROR(INDEX(Расходка[Наименование расходного материала],MATCH(Расходка[[#This Row],[№]],Поиск_расходки[Индекс8],0)),"")</f>
        <v/>
      </c>
      <c r="Z33" s="114" t="str">
        <f>IFERROR(INDEX(Расходка[Наименование расходного материала],MATCH(Расходка[[#This Row],[№]],Поиск_расходки[Индекс9],0)),"")</f>
        <v/>
      </c>
      <c r="AA33" s="114" t="str">
        <f>IFERROR(INDEX(Расходка[Наименование расходного материала],MATCH(Расходка[[#This Row],[№]],Поиск_расходки[Индекс10],0)),"")</f>
        <v/>
      </c>
      <c r="AB33" s="114" t="str">
        <f>IFERROR(INDEX(Расходка[Наименование расходного материала],MATCH(Расходка[[#This Row],[№]],Поиск_расходки[Индекс11],0)),"")</f>
        <v/>
      </c>
      <c r="AC33" s="114" t="str">
        <f>IFERROR(INDEX(Расходка[Наименование расходного материала],MATCH(Расходка[[#This Row],[№]],Поиск_расходки[Индекс12],0)),"")</f>
        <v>Intuition</v>
      </c>
      <c r="AD33" s="114" t="str">
        <f>IFERROR(INDEX(Расходка[Наименование расходного материала],MATCH(Расходка[[#This Row],[№]],Поиск_расходки[Индекс13],0)),"")</f>
        <v>Intuition</v>
      </c>
      <c r="AF33" s="4" t="s">
        <v>5</v>
      </c>
      <c r="AG33" s="4" t="s">
        <v>429</v>
      </c>
    </row>
    <row r="34" spans="1:33">
      <c r="A34">
        <f>ROW(Расходка[[#This Row],[Тип расходного материала ]])-1</f>
        <v>33</v>
      </c>
      <c r="B34" t="s">
        <v>3</v>
      </c>
      <c r="C34" t="s">
        <v>317</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0</v>
      </c>
      <c r="H34" s="115">
        <f>IF(ISNUMBER(SEARCH('Карта учёта'!$B$16,Расходка[[#This Row],[Наименование расходного материала]])),MAX($H$1:H33)+1,0)</f>
        <v>0</v>
      </c>
      <c r="I34" s="115">
        <f>IF(ISNUMBER(SEARCH('Карта учёта'!$B$17,Расходка[[#This Row],[Наименование расходного материала]])),MAX($I$1:I33)+1,0)</f>
        <v>0</v>
      </c>
      <c r="J34" s="115">
        <f>IF(ISNUMBER(SEARCH('Карта учёта'!$B$18,Расходка[[#This Row],[Наименование расходного материала]])),MAX($J$1:J33)+1,0)</f>
        <v>0</v>
      </c>
      <c r="K34" s="115">
        <f>IF(ISNUMBER(SEARCH('Карта учёта'!$B$19,Расходка[[#This Row],[Наименование расходного материала]])),MAX($K$1:K33)+1,0)</f>
        <v>0</v>
      </c>
      <c r="L34" s="115">
        <f>IF(ISNUMBER(SEARCH('Карта учёта'!$B$20,Расходка[[#This Row],[Наименование расходного материала]])),MAX($L$1:L33)+1,0)</f>
        <v>0</v>
      </c>
      <c r="M34" s="115">
        <f>IF(ISNUMBER(SEARCH('Карта учёта'!$B$21,Расходка[[#This Row],[Наименование расходного материала]])),MAX($M$1:M33)+1,0)</f>
        <v>0</v>
      </c>
      <c r="N34" s="115">
        <f>IF(ISNUMBER(SEARCH('Карта учёта'!$B$22,Расходка[[#This Row],[Наименование расходного материала]])),MAX($N$1:N33)+1,0)</f>
        <v>0</v>
      </c>
      <c r="O34" s="115">
        <f>IF(ISNUMBER(SEARCH('Карта учёта'!$B$23,Расходка[[#This Row],[Наименование расходного материала]])),MAX($O$1:O33)+1,0)</f>
        <v>0</v>
      </c>
      <c r="P34" s="115">
        <f>IF(ISNUMBER(SEARCH('Карта учёта'!$B$24,Расходка[[#This Row],[Наименование расходного материала]])),MAX($P$1:P33)+1,0)</f>
        <v>33</v>
      </c>
      <c r="Q34" s="115">
        <f>IF(ISNUMBER(SEARCH('Карта учёта'!$B$25,Расходка[[#This Row],[Наименование расходного материала]])),MAX($Q$1:Q33)+1,0)</f>
        <v>33</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
      </c>
      <c r="U34" s="114" t="str">
        <f>IFERROR(INDEX(Расходка[Наименование расходного материала],MATCH(Расходка[[#This Row],[№]],Поиск_расходки[Индекс4],0)),"")</f>
        <v/>
      </c>
      <c r="V34" s="114" t="str">
        <f>IFERROR(INDEX(Расходка[Наименование расходного материала],MATCH(Расходка[[#This Row],[№]],Поиск_расходки[Индекс5],0)),"")</f>
        <v/>
      </c>
      <c r="W34" s="114" t="str">
        <f>IFERROR(INDEX(Расходка[Наименование расходного материала],MATCH(Расходка[[#This Row],[№]],Поиск_расходки[Индекс6],0)),"")</f>
        <v/>
      </c>
      <c r="X34" s="114" t="str">
        <f>IFERROR(INDEX(Расходка[Наименование расходного материала],MATCH(Расходка[[#This Row],[№]],Поиск_расходки[Индекс7],0)),"")</f>
        <v/>
      </c>
      <c r="Y34" s="114" t="str">
        <f>IFERROR(INDEX(Расходка[Наименование расходного материала],MATCH(Расходка[[#This Row],[№]],Поиск_расходки[Индекс8],0)),"")</f>
        <v/>
      </c>
      <c r="Z34" s="114" t="str">
        <f>IFERROR(INDEX(Расходка[Наименование расходного материала],MATCH(Расходка[[#This Row],[№]],Поиск_расходки[Индекс9],0)),"")</f>
        <v/>
      </c>
      <c r="AA34" s="114" t="str">
        <f>IFERROR(INDEX(Расходка[Наименование расходного материала],MATCH(Расходка[[#This Row],[№]],Поиск_расходки[Индекс10],0)),"")</f>
        <v/>
      </c>
      <c r="AB34" s="114" t="str">
        <f>IFERROR(INDEX(Расходка[Наименование расходного материала],MATCH(Расходка[[#This Row],[№]],Поиск_расходки[Индекс11],0)),"")</f>
        <v/>
      </c>
      <c r="AC34" s="114" t="str">
        <f>IFERROR(INDEX(Расходка[Наименование расходного материала],MATCH(Расходка[[#This Row],[№]],Поиск_расходки[Индекс12],0)),"")</f>
        <v>ProVia 3 Hydro-Track®</v>
      </c>
      <c r="AD34" s="114" t="str">
        <f>IFERROR(INDEX(Расходка[Наименование расходного материала],MATCH(Расходка[[#This Row],[№]],Поиск_расходки[Индекс13],0)),"")</f>
        <v>ProVia 3 Hydro-Track®</v>
      </c>
      <c r="AF34" s="4" t="s">
        <v>5</v>
      </c>
      <c r="AG34" s="4" t="s">
        <v>430</v>
      </c>
    </row>
    <row r="35" spans="1:33">
      <c r="A35">
        <f>ROW(Расходка[[#This Row],[Тип расходного материала ]])-1</f>
        <v>34</v>
      </c>
      <c r="B35" t="s">
        <v>3</v>
      </c>
      <c r="C35" t="s">
        <v>318</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0</v>
      </c>
      <c r="H35" s="115">
        <f>IF(ISNUMBER(SEARCH('Карта учёта'!$B$16,Расходка[[#This Row],[Наименование расходного материала]])),MAX($H$1:H34)+1,0)</f>
        <v>0</v>
      </c>
      <c r="I35" s="115">
        <f>IF(ISNUMBER(SEARCH('Карта учёта'!$B$17,Расходка[[#This Row],[Наименование расходного материала]])),MAX($I$1:I34)+1,0)</f>
        <v>0</v>
      </c>
      <c r="J35" s="115">
        <f>IF(ISNUMBER(SEARCH('Карта учёта'!$B$18,Расходка[[#This Row],[Наименование расходного материала]])),MAX($J$1:J34)+1,0)</f>
        <v>0</v>
      </c>
      <c r="K35" s="115">
        <f>IF(ISNUMBER(SEARCH('Карта учёта'!$B$19,Расходка[[#This Row],[Наименование расходного материала]])),MAX($K$1:K34)+1,0)</f>
        <v>0</v>
      </c>
      <c r="L35" s="115">
        <f>IF(ISNUMBER(SEARCH('Карта учёта'!$B$20,Расходка[[#This Row],[Наименование расходного материала]])),MAX($L$1:L34)+1,0)</f>
        <v>0</v>
      </c>
      <c r="M35" s="115">
        <f>IF(ISNUMBER(SEARCH('Карта учёта'!$B$21,Расходка[[#This Row],[Наименование расходного материала]])),MAX($M$1:M34)+1,0)</f>
        <v>0</v>
      </c>
      <c r="N35" s="115">
        <f>IF(ISNUMBER(SEARCH('Карта учёта'!$B$22,Расходка[[#This Row],[Наименование расходного материала]])),MAX($N$1:N34)+1,0)</f>
        <v>0</v>
      </c>
      <c r="O35" s="115">
        <f>IF(ISNUMBER(SEARCH('Карта учёта'!$B$23,Расходка[[#This Row],[Наименование расходного материала]])),MAX($O$1:O34)+1,0)</f>
        <v>0</v>
      </c>
      <c r="P35" s="115">
        <f>IF(ISNUMBER(SEARCH('Карта учёта'!$B$24,Расходка[[#This Row],[Наименование расходного материала]])),MAX($P$1:P34)+1,0)</f>
        <v>34</v>
      </c>
      <c r="Q35" s="115">
        <f>IF(ISNUMBER(SEARCH('Карта учёта'!$B$25,Расходка[[#This Row],[Наименование расходного материала]])),MAX($Q$1:Q34)+1,0)</f>
        <v>34</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
      </c>
      <c r="U35" s="114" t="str">
        <f>IFERROR(INDEX(Расходка[Наименование расходного материала],MATCH(Расходка[[#This Row],[№]],Поиск_расходки[Индекс4],0)),"")</f>
        <v/>
      </c>
      <c r="V35" s="114" t="str">
        <f>IFERROR(INDEX(Расходка[Наименование расходного материала],MATCH(Расходка[[#This Row],[№]],Поиск_расходки[Индекс5],0)),"")</f>
        <v/>
      </c>
      <c r="W35" s="114" t="str">
        <f>IFERROR(INDEX(Расходка[Наименование расходного материала],MATCH(Расходка[[#This Row],[№]],Поиск_расходки[Индекс6],0)),"")</f>
        <v/>
      </c>
      <c r="X35" s="114" t="str">
        <f>IFERROR(INDEX(Расходка[Наименование расходного материала],MATCH(Расходка[[#This Row],[№]],Поиск_расходки[Индекс7],0)),"")</f>
        <v/>
      </c>
      <c r="Y35" s="114" t="str">
        <f>IFERROR(INDEX(Расходка[Наименование расходного материала],MATCH(Расходка[[#This Row],[№]],Поиск_расходки[Индекс8],0)),"")</f>
        <v/>
      </c>
      <c r="Z35" s="114" t="str">
        <f>IFERROR(INDEX(Расходка[Наименование расходного материала],MATCH(Расходка[[#This Row],[№]],Поиск_расходки[Индекс9],0)),"")</f>
        <v/>
      </c>
      <c r="AA35" s="114" t="str">
        <f>IFERROR(INDEX(Расходка[Наименование расходного материала],MATCH(Расходка[[#This Row],[№]],Поиск_расходки[Индекс10],0)),"")</f>
        <v/>
      </c>
      <c r="AB35" s="114" t="str">
        <f>IFERROR(INDEX(Расходка[Наименование расходного материала],MATCH(Расходка[[#This Row],[№]],Поиск_расходки[Индекс11],0)),"")</f>
        <v/>
      </c>
      <c r="AC35" s="114" t="str">
        <f>IFERROR(INDEX(Расходка[Наименование расходного материала],MATCH(Расходка[[#This Row],[№]],Поиск_расходки[Индекс12],0)),"")</f>
        <v>ProVia 6 Hydro-Track®</v>
      </c>
      <c r="AD35" s="114" t="str">
        <f>IFERROR(INDEX(Расходка[Наименование расходного материала],MATCH(Расходка[[#This Row],[№]],Поиск_расходки[Индекс13],0)),"")</f>
        <v>ProVia 6 Hydro-Track®</v>
      </c>
      <c r="AF35" s="4" t="s">
        <v>5</v>
      </c>
      <c r="AG35" s="4" t="s">
        <v>489</v>
      </c>
    </row>
    <row r="36" spans="1:33">
      <c r="A36">
        <f>ROW(Расходка[[#This Row],[Тип расходного материала ]])-1</f>
        <v>35</v>
      </c>
      <c r="B36" t="s">
        <v>3</v>
      </c>
      <c r="C36" t="s">
        <v>319</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0</v>
      </c>
      <c r="H36" s="115">
        <f>IF(ISNUMBER(SEARCH('Карта учёта'!$B$16,Расходка[[#This Row],[Наименование расходного материала]])),MAX($H$1:H35)+1,0)</f>
        <v>0</v>
      </c>
      <c r="I36" s="115">
        <f>IF(ISNUMBER(SEARCH('Карта учёта'!$B$17,Расходка[[#This Row],[Наименование расходного материала]])),MAX($I$1:I35)+1,0)</f>
        <v>0</v>
      </c>
      <c r="J36" s="115">
        <f>IF(ISNUMBER(SEARCH('Карта учёта'!$B$18,Расходка[[#This Row],[Наименование расходного материала]])),MAX($J$1:J35)+1,0)</f>
        <v>0</v>
      </c>
      <c r="K36" s="115">
        <f>IF(ISNUMBER(SEARCH('Карта учёта'!$B$19,Расходка[[#This Row],[Наименование расходного материала]])),MAX($K$1:K35)+1,0)</f>
        <v>0</v>
      </c>
      <c r="L36" s="115">
        <f>IF(ISNUMBER(SEARCH('Карта учёта'!$B$20,Расходка[[#This Row],[Наименование расходного материала]])),MAX($L$1:L35)+1,0)</f>
        <v>0</v>
      </c>
      <c r="M36" s="115">
        <f>IF(ISNUMBER(SEARCH('Карта учёта'!$B$21,Расходка[[#This Row],[Наименование расходного материала]])),MAX($M$1:M35)+1,0)</f>
        <v>0</v>
      </c>
      <c r="N36" s="115">
        <f>IF(ISNUMBER(SEARCH('Карта учёта'!$B$22,Расходка[[#This Row],[Наименование расходного материала]])),MAX($N$1:N35)+1,0)</f>
        <v>0</v>
      </c>
      <c r="O36" s="115">
        <f>IF(ISNUMBER(SEARCH('Карта учёта'!$B$23,Расходка[[#This Row],[Наименование расходного материала]])),MAX($O$1:O35)+1,0)</f>
        <v>0</v>
      </c>
      <c r="P36" s="115">
        <f>IF(ISNUMBER(SEARCH('Карта учёта'!$B$24,Расходка[[#This Row],[Наименование расходного материала]])),MAX($P$1:P35)+1,0)</f>
        <v>35</v>
      </c>
      <c r="Q36" s="115">
        <f>IF(ISNUMBER(SEARCH('Карта учёта'!$B$25,Расходка[[#This Row],[Наименование расходного материала]])),MAX($Q$1:Q35)+1,0)</f>
        <v>35</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
      </c>
      <c r="U36" s="114" t="str">
        <f>IFERROR(INDEX(Расходка[Наименование расходного материала],MATCH(Расходка[[#This Row],[№]],Поиск_расходки[Индекс4],0)),"")</f>
        <v/>
      </c>
      <c r="V36" s="114" t="str">
        <f>IFERROR(INDEX(Расходка[Наименование расходного материала],MATCH(Расходка[[#This Row],[№]],Поиск_расходки[Индекс5],0)),"")</f>
        <v/>
      </c>
      <c r="W36" s="114" t="str">
        <f>IFERROR(INDEX(Расходка[Наименование расходного материала],MATCH(Расходка[[#This Row],[№]],Поиск_расходки[Индекс6],0)),"")</f>
        <v/>
      </c>
      <c r="X36" s="114" t="str">
        <f>IFERROR(INDEX(Расходка[Наименование расходного материала],MATCH(Расходка[[#This Row],[№]],Поиск_расходки[Индекс7],0)),"")</f>
        <v/>
      </c>
      <c r="Y36" s="114" t="str">
        <f>IFERROR(INDEX(Расходка[Наименование расходного материала],MATCH(Расходка[[#This Row],[№]],Поиск_расходки[Индекс8],0)),"")</f>
        <v/>
      </c>
      <c r="Z36" s="114" t="str">
        <f>IFERROR(INDEX(Расходка[Наименование расходного материала],MATCH(Расходка[[#This Row],[№]],Поиск_расходки[Индекс9],0)),"")</f>
        <v/>
      </c>
      <c r="AA36" s="114" t="str">
        <f>IFERROR(INDEX(Расходка[Наименование расходного материала],MATCH(Расходка[[#This Row],[№]],Поиск_расходки[Индекс10],0)),"")</f>
        <v/>
      </c>
      <c r="AB36" s="114" t="str">
        <f>IFERROR(INDEX(Расходка[Наименование расходного материала],MATCH(Расходка[[#This Row],[№]],Поиск_расходки[Индекс11],0)),"")</f>
        <v/>
      </c>
      <c r="AC36" s="114" t="str">
        <f>IFERROR(INDEX(Расходка[Наименование расходного материала],MATCH(Расходка[[#This Row],[№]],Поиск_расходки[Индекс12],0)),"")</f>
        <v>ProVia 9 Hydro-Track®</v>
      </c>
      <c r="AD36" s="114" t="str">
        <f>IFERROR(INDEX(Расходка[Наименование расходного материала],MATCH(Расходка[[#This Row],[№]],Поиск_расходки[Индекс13],0)),"")</f>
        <v>ProVia 9 Hydro-Track®</v>
      </c>
      <c r="AF36" s="4" t="s">
        <v>5</v>
      </c>
      <c r="AG36" s="4" t="s">
        <v>431</v>
      </c>
    </row>
    <row r="37" spans="1:33">
      <c r="A37">
        <f>ROW(Расходка[[#This Row],[Тип расходного материала ]])-1</f>
        <v>36</v>
      </c>
      <c r="B37" t="s">
        <v>3</v>
      </c>
      <c r="C37" t="s">
        <v>315</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0</v>
      </c>
      <c r="H37" s="115">
        <f>IF(ISNUMBER(SEARCH('Карта учёта'!$B$16,Расходка[[#This Row],[Наименование расходного материала]])),MAX($H$1:H36)+1,0)</f>
        <v>0</v>
      </c>
      <c r="I37" s="115">
        <f>IF(ISNUMBER(SEARCH('Карта учёта'!$B$17,Расходка[[#This Row],[Наименование расходного материала]])),MAX($I$1:I36)+1,0)</f>
        <v>0</v>
      </c>
      <c r="J37" s="115">
        <f>IF(ISNUMBER(SEARCH('Карта учёта'!$B$18,Расходка[[#This Row],[Наименование расходного материала]])),MAX($J$1:J36)+1,0)</f>
        <v>0</v>
      </c>
      <c r="K37" s="115">
        <f>IF(ISNUMBER(SEARCH('Карта учёта'!$B$19,Расходка[[#This Row],[Наименование расходного материала]])),MAX($K$1:K36)+1,0)</f>
        <v>0</v>
      </c>
      <c r="L37" s="115">
        <f>IF(ISNUMBER(SEARCH('Карта учёта'!$B$20,Расходка[[#This Row],[Наименование расходного материала]])),MAX($L$1:L36)+1,0)</f>
        <v>0</v>
      </c>
      <c r="M37" s="115">
        <f>IF(ISNUMBER(SEARCH('Карта учёта'!$B$21,Расходка[[#This Row],[Наименование расходного материала]])),MAX($M$1:M36)+1,0)</f>
        <v>0</v>
      </c>
      <c r="N37" s="115">
        <f>IF(ISNUMBER(SEARCH('Карта учёта'!$B$22,Расходка[[#This Row],[Наименование расходного материала]])),MAX($N$1:N36)+1,0)</f>
        <v>0</v>
      </c>
      <c r="O37" s="115">
        <f>IF(ISNUMBER(SEARCH('Карта учёта'!$B$23,Расходка[[#This Row],[Наименование расходного материала]])),MAX($O$1:O36)+1,0)</f>
        <v>0</v>
      </c>
      <c r="P37" s="115">
        <f>IF(ISNUMBER(SEARCH('Карта учёта'!$B$24,Расходка[[#This Row],[Наименование расходного материала]])),MAX($P$1:P36)+1,0)</f>
        <v>36</v>
      </c>
      <c r="Q37" s="115">
        <f>IF(ISNUMBER(SEARCH('Карта учёта'!$B$25,Расходка[[#This Row],[Наименование расходного материала]])),MAX($Q$1:Q36)+1,0)</f>
        <v>36</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
      </c>
      <c r="U37" s="114" t="str">
        <f>IFERROR(INDEX(Расходка[Наименование расходного материала],MATCH(Расходка[[#This Row],[№]],Поиск_расходки[Индекс4],0)),"")</f>
        <v/>
      </c>
      <c r="V37" s="114" t="str">
        <f>IFERROR(INDEX(Расходка[Наименование расходного материала],MATCH(Расходка[[#This Row],[№]],Поиск_расходки[Индекс5],0)),"")</f>
        <v/>
      </c>
      <c r="W37" s="114" t="str">
        <f>IFERROR(INDEX(Расходка[Наименование расходного материала],MATCH(Расходка[[#This Row],[№]],Поиск_расходки[Индекс6],0)),"")</f>
        <v/>
      </c>
      <c r="X37" s="114" t="str">
        <f>IFERROR(INDEX(Расходка[Наименование расходного материала],MATCH(Расходка[[#This Row],[№]],Поиск_расходки[Индекс7],0)),"")</f>
        <v/>
      </c>
      <c r="Y37" s="114" t="str">
        <f>IFERROR(INDEX(Расходка[Наименование расходного материала],MATCH(Расходка[[#This Row],[№]],Поиск_расходки[Индекс8],0)),"")</f>
        <v/>
      </c>
      <c r="Z37" s="114" t="str">
        <f>IFERROR(INDEX(Расходка[Наименование расходного материала],MATCH(Расходка[[#This Row],[№]],Поиск_расходки[Индекс9],0)),"")</f>
        <v/>
      </c>
      <c r="AA37" s="114" t="str">
        <f>IFERROR(INDEX(Расходка[Наименование расходного материала],MATCH(Расходка[[#This Row],[№]],Поиск_расходки[Индекс10],0)),"")</f>
        <v/>
      </c>
      <c r="AB37" s="114" t="str">
        <f>IFERROR(INDEX(Расходка[Наименование расходного материала],MATCH(Расходка[[#This Row],[№]],Поиск_расходки[Индекс11],0)),"")</f>
        <v/>
      </c>
      <c r="AC37" s="114" t="str">
        <f>IFERROR(INDEX(Расходка[Наименование расходного материала],MATCH(Расходка[[#This Row],[№]],Поиск_расходки[Индекс12],0)),"")</f>
        <v>Rinato</v>
      </c>
      <c r="AD37" s="114" t="str">
        <f>IFERROR(INDEX(Расходка[Наименование расходного материала],MATCH(Расходка[[#This Row],[№]],Поиск_расходки[Индекс13],0)),"")</f>
        <v>Rinato</v>
      </c>
      <c r="AF37" s="4" t="s">
        <v>6</v>
      </c>
      <c r="AG37" s="4" t="s">
        <v>404</v>
      </c>
    </row>
    <row r="38" spans="1:33">
      <c r="A38">
        <f>ROW(Расходка[[#This Row],[Тип расходного материала ]])-1</f>
        <v>37</v>
      </c>
      <c r="B38" t="s">
        <v>3</v>
      </c>
      <c r="C38" s="1" t="s">
        <v>352</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0</v>
      </c>
      <c r="H38" s="115">
        <f>IF(ISNUMBER(SEARCH('Карта учёта'!$B$16,Расходка[[#This Row],[Наименование расходного материала]])),MAX($H$1:H37)+1,0)</f>
        <v>0</v>
      </c>
      <c r="I38" s="115">
        <f>IF(ISNUMBER(SEARCH('Карта учёта'!$B$17,Расходка[[#This Row],[Наименование расходного материала]])),MAX($I$1:I37)+1,0)</f>
        <v>0</v>
      </c>
      <c r="J38" s="115">
        <f>IF(ISNUMBER(SEARCH('Карта учёта'!$B$18,Расходка[[#This Row],[Наименование расходного материала]])),MAX($J$1:J37)+1,0)</f>
        <v>0</v>
      </c>
      <c r="K38" s="115">
        <f>IF(ISNUMBER(SEARCH('Карта учёта'!$B$19,Расходка[[#This Row],[Наименование расходного материала]])),MAX($K$1:K37)+1,0)</f>
        <v>0</v>
      </c>
      <c r="L38" s="115">
        <f>IF(ISNUMBER(SEARCH('Карта учёта'!$B$20,Расходка[[#This Row],[Наименование расходного материала]])),MAX($L$1:L37)+1,0)</f>
        <v>0</v>
      </c>
      <c r="M38" s="115">
        <f>IF(ISNUMBER(SEARCH('Карта учёта'!$B$21,Расходка[[#This Row],[Наименование расходного материала]])),MAX($M$1:M37)+1,0)</f>
        <v>0</v>
      </c>
      <c r="N38" s="115">
        <f>IF(ISNUMBER(SEARCH('Карта учёта'!$B$22,Расходка[[#This Row],[Наименование расходного материала]])),MAX($N$1:N37)+1,0)</f>
        <v>0</v>
      </c>
      <c r="O38" s="115">
        <f>IF(ISNUMBER(SEARCH('Карта учёта'!$B$23,Расходка[[#This Row],[Наименование расходного материала]])),MAX($O$1:O37)+1,0)</f>
        <v>0</v>
      </c>
      <c r="P38" s="115">
        <f>IF(ISNUMBER(SEARCH('Карта учёта'!$B$24,Расходка[[#This Row],[Наименование расходного материала]])),MAX($P$1:P37)+1,0)</f>
        <v>37</v>
      </c>
      <c r="Q38" s="115">
        <f>IF(ISNUMBER(SEARCH('Карта учёта'!$B$25,Расходка[[#This Row],[Наименование расходного материала]])),MAX($Q$1:Q37)+1,0)</f>
        <v>37</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
      </c>
      <c r="U38" s="114" t="str">
        <f>IFERROR(INDEX(Расходка[Наименование расходного материала],MATCH(Расходка[[#This Row],[№]],Поиск_расходки[Индекс4],0)),"")</f>
        <v/>
      </c>
      <c r="V38" s="114" t="str">
        <f>IFERROR(INDEX(Расходка[Наименование расходного материала],MATCH(Расходка[[#This Row],[№]],Поиск_расходки[Индекс5],0)),"")</f>
        <v/>
      </c>
      <c r="W38" s="114" t="str">
        <f>IFERROR(INDEX(Расходка[Наименование расходного материала],MATCH(Расходка[[#This Row],[№]],Поиск_расходки[Индекс6],0)),"")</f>
        <v/>
      </c>
      <c r="X38" s="114" t="str">
        <f>IFERROR(INDEX(Расходка[Наименование расходного материала],MATCH(Расходка[[#This Row],[№]],Поиск_расходки[Индекс7],0)),"")</f>
        <v/>
      </c>
      <c r="Y38" s="114" t="str">
        <f>IFERROR(INDEX(Расходка[Наименование расходного материала],MATCH(Расходка[[#This Row],[№]],Поиск_расходки[Индекс8],0)),"")</f>
        <v/>
      </c>
      <c r="Z38" s="114" t="str">
        <f>IFERROR(INDEX(Расходка[Наименование расходного материала],MATCH(Расходка[[#This Row],[№]],Поиск_расходки[Индекс9],0)),"")</f>
        <v/>
      </c>
      <c r="AA38" s="114" t="str">
        <f>IFERROR(INDEX(Расходка[Наименование расходного материала],MATCH(Расходка[[#This Row],[№]],Поиск_расходки[Индекс10],0)),"")</f>
        <v/>
      </c>
      <c r="AB38" s="114" t="str">
        <f>IFERROR(INDEX(Расходка[Наименование расходного материала],MATCH(Расходка[[#This Row],[№]],Поиск_расходки[Индекс11],0)),"")</f>
        <v/>
      </c>
      <c r="AC38" s="114" t="str">
        <f>IFERROR(INDEX(Расходка[Наименование расходного материала],MATCH(Расходка[[#This Row],[№]],Поиск_расходки[Индекс12],0)),"")</f>
        <v>Runthrough NS (Floppy)</v>
      </c>
      <c r="AD38" s="114" t="str">
        <f>IFERROR(INDEX(Расходка[Наименование расходного материала],MATCH(Расходка[[#This Row],[№]],Поиск_расходки[Индекс13],0)),"")</f>
        <v>Runthrough NS (Floppy)</v>
      </c>
      <c r="AF38" s="4" t="s">
        <v>6</v>
      </c>
      <c r="AG38" s="4" t="s">
        <v>491</v>
      </c>
    </row>
    <row r="39" spans="1:33">
      <c r="A39">
        <f>ROW(Расходка[[#This Row],[Тип расходного материала ]])-1</f>
        <v>38</v>
      </c>
      <c r="B39" t="s">
        <v>3</v>
      </c>
      <c r="C39" s="1" t="s">
        <v>359</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0</v>
      </c>
      <c r="H39" s="115">
        <f>IF(ISNUMBER(SEARCH('Карта учёта'!$B$16,Расходка[[#This Row],[Наименование расходного материала]])),MAX($H$1:H38)+1,0)</f>
        <v>0</v>
      </c>
      <c r="I39" s="115">
        <f>IF(ISNUMBER(SEARCH('Карта учёта'!$B$17,Расходка[[#This Row],[Наименование расходного материала]])),MAX($I$1:I38)+1,0)</f>
        <v>0</v>
      </c>
      <c r="J39" s="115">
        <f>IF(ISNUMBER(SEARCH('Карта учёта'!$B$18,Расходка[[#This Row],[Наименование расходного материала]])),MAX($J$1:J38)+1,0)</f>
        <v>0</v>
      </c>
      <c r="K39" s="115">
        <f>IF(ISNUMBER(SEARCH('Карта учёта'!$B$19,Расходка[[#This Row],[Наименование расходного материала]])),MAX($K$1:K38)+1,0)</f>
        <v>0</v>
      </c>
      <c r="L39" s="115">
        <f>IF(ISNUMBER(SEARCH('Карта учёта'!$B$20,Расходка[[#This Row],[Наименование расходного материала]])),MAX($L$1:L38)+1,0)</f>
        <v>0</v>
      </c>
      <c r="M39" s="115">
        <f>IF(ISNUMBER(SEARCH('Карта учёта'!$B$21,Расходка[[#This Row],[Наименование расходного материала]])),MAX($M$1:M38)+1,0)</f>
        <v>0</v>
      </c>
      <c r="N39" s="115">
        <f>IF(ISNUMBER(SEARCH('Карта учёта'!$B$22,Расходка[[#This Row],[Наименование расходного материала]])),MAX($N$1:N38)+1,0)</f>
        <v>0</v>
      </c>
      <c r="O39" s="115">
        <f>IF(ISNUMBER(SEARCH('Карта учёта'!$B$23,Расходка[[#This Row],[Наименование расходного материала]])),MAX($O$1:O38)+1,0)</f>
        <v>0</v>
      </c>
      <c r="P39" s="115">
        <f>IF(ISNUMBER(SEARCH('Карта учёта'!$B$24,Расходка[[#This Row],[Наименование расходного материала]])),MAX($P$1:P38)+1,0)</f>
        <v>38</v>
      </c>
      <c r="Q39" s="115">
        <f>IF(ISNUMBER(SEARCH('Карта учёта'!$B$25,Расходка[[#This Row],[Наименование расходного материала]])),MAX($Q$1:Q38)+1,0)</f>
        <v>38</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
      </c>
      <c r="U39" s="114" t="str">
        <f>IFERROR(INDEX(Расходка[Наименование расходного материала],MATCH(Расходка[[#This Row],[№]],Поиск_расходки[Индекс4],0)),"")</f>
        <v/>
      </c>
      <c r="V39" s="114" t="str">
        <f>IFERROR(INDEX(Расходка[Наименование расходного материала],MATCH(Расходка[[#This Row],[№]],Поиск_расходки[Индекс5],0)),"")</f>
        <v/>
      </c>
      <c r="W39" s="114" t="str">
        <f>IFERROR(INDEX(Расходка[Наименование расходного материала],MATCH(Расходка[[#This Row],[№]],Поиск_расходки[Индекс6],0)),"")</f>
        <v/>
      </c>
      <c r="X39" s="114" t="str">
        <f>IFERROR(INDEX(Расходка[Наименование расходного материала],MATCH(Расходка[[#This Row],[№]],Поиск_расходки[Индекс7],0)),"")</f>
        <v/>
      </c>
      <c r="Y39" s="114" t="str">
        <f>IFERROR(INDEX(Расходка[Наименование расходного материала],MATCH(Расходка[[#This Row],[№]],Поиск_расходки[Индекс8],0)),"")</f>
        <v/>
      </c>
      <c r="Z39" s="114" t="str">
        <f>IFERROR(INDEX(Расходка[Наименование расходного материала],MATCH(Расходка[[#This Row],[№]],Поиск_расходки[Индекс9],0)),"")</f>
        <v/>
      </c>
      <c r="AA39" s="114" t="str">
        <f>IFERROR(INDEX(Расходка[Наименование расходного материала],MATCH(Расходка[[#This Row],[№]],Поиск_расходки[Индекс10],0)),"")</f>
        <v/>
      </c>
      <c r="AB39" s="114" t="str">
        <f>IFERROR(INDEX(Расходка[Наименование расходного материала],MATCH(Расходка[[#This Row],[№]],Поиск_расходки[Индекс11],0)),"")</f>
        <v/>
      </c>
      <c r="AC39" s="114" t="str">
        <f>IFERROR(INDEX(Расходка[Наименование расходного материала],MATCH(Расходка[[#This Row],[№]],Поиск_расходки[Индекс12],0)),"")</f>
        <v>Runthrough NS Hypercoat</v>
      </c>
      <c r="AD39" s="114" t="str">
        <f>IFERROR(INDEX(Расходка[Наименование расходного материала],MATCH(Расходка[[#This Row],[№]],Поиск_расходки[Индекс13],0)),"")</f>
        <v>Runthrough NS Hypercoat</v>
      </c>
      <c r="AF39" s="4" t="s">
        <v>6</v>
      </c>
      <c r="AG39" s="4" t="s">
        <v>432</v>
      </c>
    </row>
    <row r="40" spans="1:33">
      <c r="A40">
        <f>ROW(Расходка[[#This Row],[Тип расходного материала ]])-1</f>
        <v>39</v>
      </c>
      <c r="B40" t="s">
        <v>3</v>
      </c>
      <c r="C40" s="1" t="s">
        <v>358</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0</v>
      </c>
      <c r="H40" s="115">
        <f>IF(ISNUMBER(SEARCH('Карта учёта'!$B$16,Расходка[[#This Row],[Наименование расходного материала]])),MAX($H$1:H39)+1,0)</f>
        <v>0</v>
      </c>
      <c r="I40" s="115">
        <f>IF(ISNUMBER(SEARCH('Карта учёта'!$B$17,Расходка[[#This Row],[Наименование расходного материала]])),MAX($I$1:I39)+1,0)</f>
        <v>0</v>
      </c>
      <c r="J40" s="115">
        <f>IF(ISNUMBER(SEARCH('Карта учёта'!$B$18,Расходка[[#This Row],[Наименование расходного материала]])),MAX($J$1:J39)+1,0)</f>
        <v>0</v>
      </c>
      <c r="K40" s="115">
        <f>IF(ISNUMBER(SEARCH('Карта учёта'!$B$19,Расходка[[#This Row],[Наименование расходного материала]])),MAX($K$1:K39)+1,0)</f>
        <v>0</v>
      </c>
      <c r="L40" s="115">
        <f>IF(ISNUMBER(SEARCH('Карта учёта'!$B$20,Расходка[[#This Row],[Наименование расходного материала]])),MAX($L$1:L39)+1,0)</f>
        <v>0</v>
      </c>
      <c r="M40" s="115">
        <f>IF(ISNUMBER(SEARCH('Карта учёта'!$B$21,Расходка[[#This Row],[Наименование расходного материала]])),MAX($M$1:M39)+1,0)</f>
        <v>0</v>
      </c>
      <c r="N40" s="115">
        <f>IF(ISNUMBER(SEARCH('Карта учёта'!$B$22,Расходка[[#This Row],[Наименование расходного материала]])),MAX($N$1:N39)+1,0)</f>
        <v>0</v>
      </c>
      <c r="O40" s="115">
        <f>IF(ISNUMBER(SEARCH('Карта учёта'!$B$23,Расходка[[#This Row],[Наименование расходного материала]])),MAX($O$1:O39)+1,0)</f>
        <v>0</v>
      </c>
      <c r="P40" s="115">
        <f>IF(ISNUMBER(SEARCH('Карта учёта'!$B$24,Расходка[[#This Row],[Наименование расходного материала]])),MAX($P$1:P39)+1,0)</f>
        <v>39</v>
      </c>
      <c r="Q40" s="115">
        <f>IF(ISNUMBER(SEARCH('Карта учёта'!$B$25,Расходка[[#This Row],[Наименование расходного материала]])),MAX($Q$1:Q39)+1,0)</f>
        <v>39</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
      </c>
      <c r="U40" s="114" t="str">
        <f>IFERROR(INDEX(Расходка[Наименование расходного материала],MATCH(Расходка[[#This Row],[№]],Поиск_расходки[Индекс4],0)),"")</f>
        <v/>
      </c>
      <c r="V40" s="114" t="str">
        <f>IFERROR(INDEX(Расходка[Наименование расходного материала],MATCH(Расходка[[#This Row],[№]],Поиск_расходки[Индекс5],0)),"")</f>
        <v/>
      </c>
      <c r="W40" s="114" t="str">
        <f>IFERROR(INDEX(Расходка[Наименование расходного материала],MATCH(Расходка[[#This Row],[№]],Поиск_расходки[Индекс6],0)),"")</f>
        <v/>
      </c>
      <c r="X40" s="114" t="str">
        <f>IFERROR(INDEX(Расходка[Наименование расходного материала],MATCH(Расходка[[#This Row],[№]],Поиск_расходки[Индекс7],0)),"")</f>
        <v/>
      </c>
      <c r="Y40" s="114" t="str">
        <f>IFERROR(INDEX(Расходка[Наименование расходного материала],MATCH(Расходка[[#This Row],[№]],Поиск_расходки[Индекс8],0)),"")</f>
        <v/>
      </c>
      <c r="Z40" s="114" t="str">
        <f>IFERROR(INDEX(Расходка[Наименование расходного материала],MATCH(Расходка[[#This Row],[№]],Поиск_расходки[Индекс9],0)),"")</f>
        <v/>
      </c>
      <c r="AA40" s="114" t="str">
        <f>IFERROR(INDEX(Расходка[Наименование расходного материала],MATCH(Расходка[[#This Row],[№]],Поиск_расходки[Индекс10],0)),"")</f>
        <v/>
      </c>
      <c r="AB40" s="114" t="str">
        <f>IFERROR(INDEX(Расходка[Наименование расходного материала],MATCH(Расходка[[#This Row],[№]],Поиск_расходки[Индекс11],0)),"")</f>
        <v/>
      </c>
      <c r="AC40" s="114" t="str">
        <f>IFERROR(INDEX(Расходка[Наименование расходного материала],MATCH(Расходка[[#This Row],[№]],Поиск_расходки[Индекс12],0)),"")</f>
        <v>Runthrough NS Intermediate</v>
      </c>
      <c r="AD40" s="114" t="str">
        <f>IFERROR(INDEX(Расходка[Наименование расходного материала],MATCH(Расходка[[#This Row],[№]],Поиск_расходки[Индекс13],0)),"")</f>
        <v>Runthrough NS Intermediate</v>
      </c>
      <c r="AF40" s="4" t="s">
        <v>6</v>
      </c>
      <c r="AG40" s="4" t="s">
        <v>433</v>
      </c>
    </row>
    <row r="41" spans="1:33">
      <c r="A41">
        <f>ROW(Расходка[[#This Row],[Тип расходного материала ]])-1</f>
        <v>40</v>
      </c>
      <c r="B41" t="s">
        <v>3</v>
      </c>
      <c r="C41" t="s">
        <v>314</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0</v>
      </c>
      <c r="H41" s="115">
        <f>IF(ISNUMBER(SEARCH('Карта учёта'!$B$16,Расходка[[#This Row],[Наименование расходного материала]])),MAX($H$1:H40)+1,0)</f>
        <v>0</v>
      </c>
      <c r="I41" s="115">
        <f>IF(ISNUMBER(SEARCH('Карта учёта'!$B$17,Расходка[[#This Row],[Наименование расходного материала]])),MAX($I$1:I40)+1,0)</f>
        <v>0</v>
      </c>
      <c r="J41" s="115">
        <f>IF(ISNUMBER(SEARCH('Карта учёта'!$B$18,Расходка[[#This Row],[Наименование расходного материала]])),MAX($J$1:J40)+1,0)</f>
        <v>0</v>
      </c>
      <c r="K41" s="115">
        <f>IF(ISNUMBER(SEARCH('Карта учёта'!$B$19,Расходка[[#This Row],[Наименование расходного материала]])),MAX($K$1:K40)+1,0)</f>
        <v>0</v>
      </c>
      <c r="L41" s="115">
        <f>IF(ISNUMBER(SEARCH('Карта учёта'!$B$20,Расходка[[#This Row],[Наименование расходного материала]])),MAX($L$1:L40)+1,0)</f>
        <v>0</v>
      </c>
      <c r="M41" s="115">
        <f>IF(ISNUMBER(SEARCH('Карта учёта'!$B$21,Расходка[[#This Row],[Наименование расходного материала]])),MAX($M$1:M40)+1,0)</f>
        <v>0</v>
      </c>
      <c r="N41" s="115">
        <f>IF(ISNUMBER(SEARCH('Карта учёта'!$B$22,Расходка[[#This Row],[Наименование расходного материала]])),MAX($N$1:N40)+1,0)</f>
        <v>0</v>
      </c>
      <c r="O41" s="115">
        <f>IF(ISNUMBER(SEARCH('Карта учёта'!$B$23,Расходка[[#This Row],[Наименование расходного материала]])),MAX($O$1:O40)+1,0)</f>
        <v>0</v>
      </c>
      <c r="P41" s="115">
        <f>IF(ISNUMBER(SEARCH('Карта учёта'!$B$24,Расходка[[#This Row],[Наименование расходного материала]])),MAX($P$1:P40)+1,0)</f>
        <v>40</v>
      </c>
      <c r="Q41" s="115">
        <f>IF(ISNUMBER(SEARCH('Карта учёта'!$B$25,Расходка[[#This Row],[Наименование расходного материала]])),MAX($Q$1:Q40)+1,0)</f>
        <v>40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
      </c>
      <c r="U41" s="114" t="str">
        <f>IFERROR(INDEX(Расходка[Наименование расходного материала],MATCH(Расходка[[#This Row],[№]],Поиск_расходки[Индекс4],0)),"")</f>
        <v/>
      </c>
      <c r="V41" s="114" t="str">
        <f>IFERROR(INDEX(Расходка[Наименование расходного материала],MATCH(Расходка[[#This Row],[№]],Поиск_расходки[Индекс5],0)),"")</f>
        <v/>
      </c>
      <c r="W41" s="114" t="str">
        <f>IFERROR(INDEX(Расходка[Наименование расходного материала],MATCH(Расходка[[#This Row],[№]],Поиск_расходки[Индекс6],0)),"")</f>
        <v/>
      </c>
      <c r="X41" s="114" t="str">
        <f>IFERROR(INDEX(Расходка[Наименование расходного материала],MATCH(Расходка[[#This Row],[№]],Поиск_расходки[Индекс7],0)),"")</f>
        <v/>
      </c>
      <c r="Y41" s="114" t="str">
        <f>IFERROR(INDEX(Расходка[Наименование расходного материала],MATCH(Расходка[[#This Row],[№]],Поиск_расходки[Индекс8],0)),"")</f>
        <v/>
      </c>
      <c r="Z41" s="114" t="str">
        <f>IFERROR(INDEX(Расходка[Наименование расходного материала],MATCH(Расходка[[#This Row],[№]],Поиск_расходки[Индекс9],0)),"")</f>
        <v/>
      </c>
      <c r="AA41" s="114" t="str">
        <f>IFERROR(INDEX(Расходка[Наименование расходного материала],MATCH(Расходка[[#This Row],[№]],Поиск_расходки[Индекс10],0)),"")</f>
        <v/>
      </c>
      <c r="AB41" s="114" t="str">
        <f>IFERROR(INDEX(Расходка[Наименование расходного материала],MATCH(Расходка[[#This Row],[№]],Поиск_расходки[Индекс11],0)),"")</f>
        <v/>
      </c>
      <c r="AC41" s="114" t="str">
        <f>IFERROR(INDEX(Расходка[Наименование расходного материала],MATCH(Расходка[[#This Row],[№]],Поиск_расходки[Индекс12],0)),"")</f>
        <v>Sion</v>
      </c>
      <c r="AD41" s="114" t="str">
        <f>IFERROR(INDEX(Расходка[Наименование расходного материала],MATCH(Расходка[[#This Row],[№]],Поиск_расходки[Индекс13],0)),"")</f>
        <v>Sion</v>
      </c>
      <c r="AF41" s="4" t="s">
        <v>6</v>
      </c>
      <c r="AG41" s="4" t="s">
        <v>434</v>
      </c>
    </row>
    <row r="42" spans="1:33">
      <c r="A42">
        <f>ROW(Расходка[[#This Row],[Тип расходного материала ]])-1</f>
        <v>41</v>
      </c>
      <c r="B42" t="s">
        <v>3</v>
      </c>
      <c r="C42" t="s">
        <v>376</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0</v>
      </c>
      <c r="H42" s="115">
        <f>IF(ISNUMBER(SEARCH('Карта учёта'!$B$16,Расходка[[#This Row],[Наименование расходного материала]])),MAX($H$1:H41)+1,0)</f>
        <v>0</v>
      </c>
      <c r="I42" s="115">
        <f>IF(ISNUMBER(SEARCH('Карта учёта'!$B$17,Расходка[[#This Row],[Наименование расходного материала]])),MAX($I$1:I41)+1,0)</f>
        <v>0</v>
      </c>
      <c r="J42" s="115">
        <f>IF(ISNUMBER(SEARCH('Карта учёта'!$B$18,Расходка[[#This Row],[Наименование расходного материала]])),MAX($J$1:J41)+1,0)</f>
        <v>0</v>
      </c>
      <c r="K42" s="115">
        <f>IF(ISNUMBER(SEARCH('Карта учёта'!$B$19,Расходка[[#This Row],[Наименование расходного материала]])),MAX($K$1:K41)+1,0)</f>
        <v>0</v>
      </c>
      <c r="L42" s="115">
        <f>IF(ISNUMBER(SEARCH('Карта учёта'!$B$20,Расходка[[#This Row],[Наименование расходного материала]])),MAX($L$1:L41)+1,0)</f>
        <v>0</v>
      </c>
      <c r="M42" s="115">
        <f>IF(ISNUMBER(SEARCH('Карта учёта'!$B$21,Расходка[[#This Row],[Наименование расходного материала]])),MAX($M$1:M41)+1,0)</f>
        <v>0</v>
      </c>
      <c r="N42" s="115">
        <f>IF(ISNUMBER(SEARCH('Карта учёта'!$B$22,Расходка[[#This Row],[Наименование расходного материала]])),MAX($N$1:N41)+1,0)</f>
        <v>0</v>
      </c>
      <c r="O42" s="115">
        <f>IF(ISNUMBER(SEARCH('Карта учёта'!$B$23,Расходка[[#This Row],[Наименование расходного материала]])),MAX($O$1:O41)+1,0)</f>
        <v>0</v>
      </c>
      <c r="P42" s="115">
        <f>IF(ISNUMBER(SEARCH('Карта учёта'!$B$24,Расходка[[#This Row],[Наименование расходного материала]])),MAX($P$1:P41)+1,0)</f>
        <v>41</v>
      </c>
      <c r="Q42" s="115">
        <f>IF(ISNUMBER(SEARCH('Карта учёта'!$B$25,Расходка[[#This Row],[Наименование расходного материала]])),MAX($Q$1:Q41)+1,0)</f>
        <v>41</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
      </c>
      <c r="U42" s="114" t="str">
        <f>IFERROR(INDEX(Расходка[Наименование расходного материала],MATCH(Расходка[[#This Row],[№]],Поиск_расходки[Индекс4],0)),"")</f>
        <v/>
      </c>
      <c r="V42" s="114" t="str">
        <f>IFERROR(INDEX(Расходка[Наименование расходного материала],MATCH(Расходка[[#This Row],[№]],Поиск_расходки[Индекс5],0)),"")</f>
        <v/>
      </c>
      <c r="W42" s="114" t="str">
        <f>IFERROR(INDEX(Расходка[Наименование расходного материала],MATCH(Расходка[[#This Row],[№]],Поиск_расходки[Индекс6],0)),"")</f>
        <v/>
      </c>
      <c r="X42" s="114" t="str">
        <f>IFERROR(INDEX(Расходка[Наименование расходного материала],MATCH(Расходка[[#This Row],[№]],Поиск_расходки[Индекс7],0)),"")</f>
        <v/>
      </c>
      <c r="Y42" s="114" t="str">
        <f>IFERROR(INDEX(Расходка[Наименование расходного материала],MATCH(Расходка[[#This Row],[№]],Поиск_расходки[Индекс8],0)),"")</f>
        <v/>
      </c>
      <c r="Z42" s="114" t="str">
        <f>IFERROR(INDEX(Расходка[Наименование расходного материала],MATCH(Расходка[[#This Row],[№]],Поиск_расходки[Индекс9],0)),"")</f>
        <v/>
      </c>
      <c r="AA42" s="114" t="str">
        <f>IFERROR(INDEX(Расходка[Наименование расходного материала],MATCH(Расходка[[#This Row],[№]],Поиск_расходки[Индекс10],0)),"")</f>
        <v/>
      </c>
      <c r="AB42" s="114" t="str">
        <f>IFERROR(INDEX(Расходка[Наименование расходного материала],MATCH(Расходка[[#This Row],[№]],Поиск_расходки[Индекс11],0)),"")</f>
        <v/>
      </c>
      <c r="AC42" s="114" t="str">
        <f>IFERROR(INDEX(Расходка[Наименование расходного материала],MATCH(Расходка[[#This Row],[№]],Поиск_расходки[Индекс12],0)),"")</f>
        <v>Sion Black</v>
      </c>
      <c r="AD42" s="114" t="str">
        <f>IFERROR(INDEX(Расходка[Наименование расходного материала],MATCH(Расходка[[#This Row],[№]],Поиск_расходки[Индекс13],0)),"")</f>
        <v>Sion Black</v>
      </c>
      <c r="AF42" s="4" t="s">
        <v>6</v>
      </c>
      <c r="AG42" s="4" t="s">
        <v>435</v>
      </c>
    </row>
    <row r="43" spans="1:33">
      <c r="A43">
        <f>ROW(Расходка[[#This Row],[Тип расходного материала ]])-1</f>
        <v>42</v>
      </c>
      <c r="B43" t="s">
        <v>3</v>
      </c>
      <c r="C43" s="1" t="s">
        <v>370</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0</v>
      </c>
      <c r="H43" s="115">
        <f>IF(ISNUMBER(SEARCH('Карта учёта'!$B$16,Расходка[[#This Row],[Наименование расходного материала]])),MAX($H$1:H42)+1,0)</f>
        <v>0</v>
      </c>
      <c r="I43" s="115">
        <f>IF(ISNUMBER(SEARCH('Карта учёта'!$B$17,Расходка[[#This Row],[Наименование расходного материала]])),MAX($I$1:I42)+1,0)</f>
        <v>0</v>
      </c>
      <c r="J43" s="115">
        <f>IF(ISNUMBER(SEARCH('Карта учёта'!$B$18,Расходка[[#This Row],[Наименование расходного материала]])),MAX($J$1:J42)+1,0)</f>
        <v>0</v>
      </c>
      <c r="K43" s="115">
        <f>IF(ISNUMBER(SEARCH('Карта учёта'!$B$19,Расходка[[#This Row],[Наименование расходного материала]])),MAX($K$1:K42)+1,0)</f>
        <v>0</v>
      </c>
      <c r="L43" s="115">
        <f>IF(ISNUMBER(SEARCH('Карта учёта'!$B$20,Расходка[[#This Row],[Наименование расходного материала]])),MAX($L$1:L42)+1,0)</f>
        <v>0</v>
      </c>
      <c r="M43" s="115">
        <f>IF(ISNUMBER(SEARCH('Карта учёта'!$B$21,Расходка[[#This Row],[Наименование расходного материала]])),MAX($M$1:M42)+1,0)</f>
        <v>0</v>
      </c>
      <c r="N43" s="115">
        <f>IF(ISNUMBER(SEARCH('Карта учёта'!$B$22,Расходка[[#This Row],[Наименование расходного материала]])),MAX($N$1:N42)+1,0)</f>
        <v>0</v>
      </c>
      <c r="O43" s="115">
        <f>IF(ISNUMBER(SEARCH('Карта учёта'!$B$23,Расходка[[#This Row],[Наименование расходного материала]])),MAX($O$1:O42)+1,0)</f>
        <v>0</v>
      </c>
      <c r="P43" s="115">
        <f>IF(ISNUMBER(SEARCH('Карта учёта'!$B$24,Расходка[[#This Row],[Наименование расходного материала]])),MAX($P$1:P42)+1,0)</f>
        <v>42</v>
      </c>
      <c r="Q43" s="115">
        <f>IF(ISNUMBER(SEARCH('Карта учёта'!$B$25,Расходка[[#This Row],[Наименование расходного материала]])),MAX($Q$1:Q42)+1,0)</f>
        <v>42</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
      </c>
      <c r="U43" s="114" t="str">
        <f>IFERROR(INDEX(Расходка[Наименование расходного материала],MATCH(Расходка[[#This Row],[№]],Поиск_расходки[Индекс4],0)),"")</f>
        <v/>
      </c>
      <c r="V43" s="114" t="str">
        <f>IFERROR(INDEX(Расходка[Наименование расходного материала],MATCH(Расходка[[#This Row],[№]],Поиск_расходки[Индекс5],0)),"")</f>
        <v/>
      </c>
      <c r="W43" s="114" t="str">
        <f>IFERROR(INDEX(Расходка[Наименование расходного материала],MATCH(Расходка[[#This Row],[№]],Поиск_расходки[Индекс6],0)),"")</f>
        <v/>
      </c>
      <c r="X43" s="114" t="str">
        <f>IFERROR(INDEX(Расходка[Наименование расходного материала],MATCH(Расходка[[#This Row],[№]],Поиск_расходки[Индекс7],0)),"")</f>
        <v/>
      </c>
      <c r="Y43" s="114" t="str">
        <f>IFERROR(INDEX(Расходка[Наименование расходного материала],MATCH(Расходка[[#This Row],[№]],Поиск_расходки[Индекс8],0)),"")</f>
        <v/>
      </c>
      <c r="Z43" s="114" t="str">
        <f>IFERROR(INDEX(Расходка[Наименование расходного материала],MATCH(Расходка[[#This Row],[№]],Поиск_расходки[Индекс9],0)),"")</f>
        <v/>
      </c>
      <c r="AA43" s="114" t="str">
        <f>IFERROR(INDEX(Расходка[Наименование расходного материала],MATCH(Расходка[[#This Row],[№]],Поиск_расходки[Индекс10],0)),"")</f>
        <v/>
      </c>
      <c r="AB43" s="114" t="str">
        <f>IFERROR(INDEX(Расходка[Наименование расходного материала],MATCH(Расходка[[#This Row],[№]],Поиск_расходки[Индекс11],0)),"")</f>
        <v/>
      </c>
      <c r="AC43" s="114" t="str">
        <f>IFERROR(INDEX(Расходка[Наименование расходного материала],MATCH(Расходка[[#This Row],[№]],Поиск_расходки[Индекс12],0)),"")</f>
        <v>Sion Blue</v>
      </c>
      <c r="AD43" s="114" t="str">
        <f>IFERROR(INDEX(Расходка[Наименование расходного материала],MATCH(Расходка[[#This Row],[№]],Поиск_расходки[Индекс13],0)),"")</f>
        <v>Sion Blue</v>
      </c>
      <c r="AF43" s="4" t="s">
        <v>6</v>
      </c>
      <c r="AG43" s="4" t="s">
        <v>408</v>
      </c>
    </row>
    <row r="44" spans="1:33">
      <c r="A44">
        <f>ROW(Расходка[[#This Row],[Тип расходного материала ]])-1</f>
        <v>43</v>
      </c>
      <c r="B44" t="s">
        <v>3</v>
      </c>
      <c r="C44" t="s">
        <v>316</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0</v>
      </c>
      <c r="H44" s="115">
        <f>IF(ISNUMBER(SEARCH('Карта учёта'!$B$16,Расходка[[#This Row],[Наименование расходного материала]])),MAX($H$1:H43)+1,0)</f>
        <v>0</v>
      </c>
      <c r="I44" s="115">
        <f>IF(ISNUMBER(SEARCH('Карта учёта'!$B$17,Расходка[[#This Row],[Наименование расходного материала]])),MAX($I$1:I43)+1,0)</f>
        <v>0</v>
      </c>
      <c r="J44" s="115">
        <f>IF(ISNUMBER(SEARCH('Карта учёта'!$B$18,Расходка[[#This Row],[Наименование расходного материала]])),MAX($J$1:J43)+1,0)</f>
        <v>0</v>
      </c>
      <c r="K44" s="115">
        <f>IF(ISNUMBER(SEARCH('Карта учёта'!$B$19,Расходка[[#This Row],[Наименование расходного материала]])),MAX($K$1:K43)+1,0)</f>
        <v>0</v>
      </c>
      <c r="L44" s="115">
        <f>IF(ISNUMBER(SEARCH('Карта учёта'!$B$20,Расходка[[#This Row],[Наименование расходного материала]])),MAX($L$1:L43)+1,0)</f>
        <v>0</v>
      </c>
      <c r="M44" s="115">
        <f>IF(ISNUMBER(SEARCH('Карта учёта'!$B$21,Расходка[[#This Row],[Наименование расходного материала]])),MAX($M$1:M43)+1,0)</f>
        <v>0</v>
      </c>
      <c r="N44" s="115">
        <f>IF(ISNUMBER(SEARCH('Карта учёта'!$B$22,Расходка[[#This Row],[Наименование расходного материала]])),MAX($N$1:N43)+1,0)</f>
        <v>0</v>
      </c>
      <c r="O44" s="115">
        <f>IF(ISNUMBER(SEARCH('Карта учёта'!$B$23,Расходка[[#This Row],[Наименование расходного материала]])),MAX($O$1:O43)+1,0)</f>
        <v>0</v>
      </c>
      <c r="P44" s="115">
        <f>IF(ISNUMBER(SEARCH('Карта учёта'!$B$24,Расходка[[#This Row],[Наименование расходного материала]])),MAX($P$1:P43)+1,0)</f>
        <v>43</v>
      </c>
      <c r="Q44" s="115">
        <f>IF(ISNUMBER(SEARCH('Карта учёта'!$B$25,Расходка[[#This Row],[Наименование расходного материала]])),MAX($Q$1:Q43)+1,0)</f>
        <v>43</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
      </c>
      <c r="U44" s="114" t="str">
        <f>IFERROR(INDEX(Расходка[Наименование расходного материала],MATCH(Расходка[[#This Row],[№]],Поиск_расходки[Индекс4],0)),"")</f>
        <v/>
      </c>
      <c r="V44" s="114" t="str">
        <f>IFERROR(INDEX(Расходка[Наименование расходного материала],MATCH(Расходка[[#This Row],[№]],Поиск_расходки[Индекс5],0)),"")</f>
        <v/>
      </c>
      <c r="W44" s="114" t="str">
        <f>IFERROR(INDEX(Расходка[Наименование расходного материала],MATCH(Расходка[[#This Row],[№]],Поиск_расходки[Индекс6],0)),"")</f>
        <v/>
      </c>
      <c r="X44" s="114" t="str">
        <f>IFERROR(INDEX(Расходка[Наименование расходного материала],MATCH(Расходка[[#This Row],[№]],Поиск_расходки[Индекс7],0)),"")</f>
        <v/>
      </c>
      <c r="Y44" s="114" t="str">
        <f>IFERROR(INDEX(Расходка[Наименование расходного материала],MATCH(Расходка[[#This Row],[№]],Поиск_расходки[Индекс8],0)),"")</f>
        <v/>
      </c>
      <c r="Z44" s="114" t="str">
        <f>IFERROR(INDEX(Расходка[Наименование расходного материала],MATCH(Расходка[[#This Row],[№]],Поиск_расходки[Индекс9],0)),"")</f>
        <v/>
      </c>
      <c r="AA44" s="114" t="str">
        <f>IFERROR(INDEX(Расходка[Наименование расходного материала],MATCH(Расходка[[#This Row],[№]],Поиск_расходки[Индекс10],0)),"")</f>
        <v/>
      </c>
      <c r="AB44" s="114" t="str">
        <f>IFERROR(INDEX(Расходка[Наименование расходного материала],MATCH(Расходка[[#This Row],[№]],Поиск_расходки[Индекс11],0)),"")</f>
        <v/>
      </c>
      <c r="AC44" s="114" t="str">
        <f>IFERROR(INDEX(Расходка[Наименование расходного материала],MATCH(Расходка[[#This Row],[№]],Поиск_расходки[Индекс12],0)),"")</f>
        <v>Thunder</v>
      </c>
      <c r="AD44" s="114" t="str">
        <f>IFERROR(INDEX(Расходка[Наименование расходного материала],MATCH(Расходка[[#This Row],[№]],Поиск_расходки[Индекс13],0)),"")</f>
        <v>Thunder</v>
      </c>
      <c r="AF44" s="4" t="s">
        <v>6</v>
      </c>
      <c r="AG44" s="4" t="s">
        <v>436</v>
      </c>
    </row>
    <row r="45" spans="1:33">
      <c r="A45">
        <f>ROW(Расходка[[#This Row],[Тип расходного материала ]])-1</f>
        <v>44</v>
      </c>
      <c r="B45" t="s">
        <v>3</v>
      </c>
      <c r="C45" t="s">
        <v>517</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0</v>
      </c>
      <c r="H45" s="115">
        <f>IF(ISNUMBER(SEARCH('Карта учёта'!$B$16,Расходка[[#This Row],[Наименование расходного материала]])),MAX($H$1:H44)+1,0)</f>
        <v>0</v>
      </c>
      <c r="I45" s="115">
        <f>IF(ISNUMBER(SEARCH('Карта учёта'!$B$17,Расходка[[#This Row],[Наименование расходного материала]])),MAX($I$1:I44)+1,0)</f>
        <v>0</v>
      </c>
      <c r="J45" s="115">
        <f>IF(ISNUMBER(SEARCH('Карта учёта'!$B$18,Расходка[[#This Row],[Наименование расходного материала]])),MAX($J$1:J44)+1,0)</f>
        <v>0</v>
      </c>
      <c r="K45" s="115">
        <f>IF(ISNUMBER(SEARCH('Карта учёта'!$B$19,Расходка[[#This Row],[Наименование расходного материала]])),MAX($K$1:K44)+1,0)</f>
        <v>0</v>
      </c>
      <c r="L45" s="115">
        <f>IF(ISNUMBER(SEARCH('Карта учёта'!$B$20,Расходка[[#This Row],[Наименование расходного материала]])),MAX($L$1:L44)+1,0)</f>
        <v>0</v>
      </c>
      <c r="M45" s="115">
        <f>IF(ISNUMBER(SEARCH('Карта учёта'!$B$21,Расходка[[#This Row],[Наименование расходного материала]])),MAX($M$1:M44)+1,0)</f>
        <v>0</v>
      </c>
      <c r="N45" s="115">
        <f>IF(ISNUMBER(SEARCH('Карта учёта'!$B$22,Расходка[[#This Row],[Наименование расходного материала]])),MAX($N$1:N44)+1,0)</f>
        <v>0</v>
      </c>
      <c r="O45" s="115">
        <f>IF(ISNUMBER(SEARCH('Карта учёта'!$B$23,Расходка[[#This Row],[Наименование расходного материала]])),MAX($O$1:O44)+1,0)</f>
        <v>0</v>
      </c>
      <c r="P45" s="115">
        <f>IF(ISNUMBER(SEARCH('Карта учёта'!$B$24,Расходка[[#This Row],[Наименование расходного материала]])),MAX($P$1:P44)+1,0)</f>
        <v>44</v>
      </c>
      <c r="Q45" s="115">
        <f>IF(ISNUMBER(SEARCH('Карта учёта'!$B$25,Расходка[[#This Row],[Наименование расходного материала]])),MAX($Q$1:Q44)+1,0)</f>
        <v>44</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
      </c>
      <c r="U45" s="114" t="str">
        <f>IFERROR(INDEX(Расходка[Наименование расходного материала],MATCH(Расходка[[#This Row],[№]],Поиск_расходки[Индекс4],0)),"")</f>
        <v/>
      </c>
      <c r="V45" s="114" t="str">
        <f>IFERROR(INDEX(Расходка[Наименование расходного материала],MATCH(Расходка[[#This Row],[№]],Поиск_расходки[Индекс5],0)),"")</f>
        <v/>
      </c>
      <c r="W45" s="114" t="str">
        <f>IFERROR(INDEX(Расходка[Наименование расходного материала],MATCH(Расходка[[#This Row],[№]],Поиск_расходки[Индекс6],0)),"")</f>
        <v/>
      </c>
      <c r="X45" s="114" t="str">
        <f>IFERROR(INDEX(Расходка[Наименование расходного материала],MATCH(Расходка[[#This Row],[№]],Поиск_расходки[Индекс7],0)),"")</f>
        <v/>
      </c>
      <c r="Y45" s="114" t="str">
        <f>IFERROR(INDEX(Расходка[Наименование расходного материала],MATCH(Расходка[[#This Row],[№]],Поиск_расходки[Индекс8],0)),"")</f>
        <v/>
      </c>
      <c r="Z45" s="114" t="str">
        <f>IFERROR(INDEX(Расходка[Наименование расходного материала],MATCH(Расходка[[#This Row],[№]],Поиск_расходки[Индекс9],0)),"")</f>
        <v/>
      </c>
      <c r="AA45" s="114" t="str">
        <f>IFERROR(INDEX(Расходка[Наименование расходного материала],MATCH(Расходка[[#This Row],[№]],Поиск_расходки[Индекс10],0)),"")</f>
        <v/>
      </c>
      <c r="AB45" s="114" t="str">
        <f>IFERROR(INDEX(Расходка[Наименование расходного материала],MATCH(Расходка[[#This Row],[№]],Поиск_расходки[Индекс11],0)),"")</f>
        <v/>
      </c>
      <c r="AC45" s="114" t="str">
        <f>IFERROR(INDEX(Расходка[Наименование расходного материала],MATCH(Расходка[[#This Row],[№]],Поиск_расходки[Индекс12],0)),"")</f>
        <v>Abbot Whisper MS</v>
      </c>
      <c r="AD45" s="114" t="str">
        <f>IFERROR(INDEX(Расходка[Наименование расходного материала],MATCH(Расходка[[#This Row],[№]],Поиск_расходки[Индекс13],0)),"")</f>
        <v>Abbot Whisper MS</v>
      </c>
      <c r="AF45" s="4" t="s">
        <v>6</v>
      </c>
      <c r="AG45" s="4" t="s">
        <v>437</v>
      </c>
    </row>
    <row r="46" spans="1:33">
      <c r="A46">
        <f>ROW(Расходка[[#This Row],[Тип расходного материала ]])-1</f>
        <v>45</v>
      </c>
      <c r="B46" t="s">
        <v>3</v>
      </c>
      <c r="C46" t="s">
        <v>518</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0</v>
      </c>
      <c r="H46" s="115">
        <f>IF(ISNUMBER(SEARCH('Карта учёта'!$B$16,Расходка[[#This Row],[Наименование расходного материала]])),MAX($H$1:H45)+1,0)</f>
        <v>0</v>
      </c>
      <c r="I46" s="115">
        <f>IF(ISNUMBER(SEARCH('Карта учёта'!$B$17,Расходка[[#This Row],[Наименование расходного материала]])),MAX($I$1:I45)+1,0)</f>
        <v>0</v>
      </c>
      <c r="J46" s="115">
        <f>IF(ISNUMBER(SEARCH('Карта учёта'!$B$18,Расходка[[#This Row],[Наименование расходного материала]])),MAX($J$1:J45)+1,0)</f>
        <v>0</v>
      </c>
      <c r="K46" s="115">
        <f>IF(ISNUMBER(SEARCH('Карта учёта'!$B$19,Расходка[[#This Row],[Наименование расходного материала]])),MAX($K$1:K45)+1,0)</f>
        <v>0</v>
      </c>
      <c r="L46" s="115">
        <f>IF(ISNUMBER(SEARCH('Карта учёта'!$B$20,Расходка[[#This Row],[Наименование расходного материала]])),MAX($L$1:L45)+1,0)</f>
        <v>0</v>
      </c>
      <c r="M46" s="115">
        <f>IF(ISNUMBER(SEARCH('Карта учёта'!$B$21,Расходка[[#This Row],[Наименование расходного материала]])),MAX($M$1:M45)+1,0)</f>
        <v>0</v>
      </c>
      <c r="N46" s="115">
        <f>IF(ISNUMBER(SEARCH('Карта учёта'!$B$22,Расходка[[#This Row],[Наименование расходного материала]])),MAX($N$1:N45)+1,0)</f>
        <v>0</v>
      </c>
      <c r="O46" s="115">
        <f>IF(ISNUMBER(SEARCH('Карта учёта'!$B$23,Расходка[[#This Row],[Наименование расходного материала]])),MAX($O$1:O45)+1,0)</f>
        <v>0</v>
      </c>
      <c r="P46" s="115">
        <f>IF(ISNUMBER(SEARCH('Карта учёта'!$B$24,Расходка[[#This Row],[Наименование расходного материала]])),MAX($P$1:P45)+1,0)</f>
        <v>45</v>
      </c>
      <c r="Q46" s="115">
        <f>IF(ISNUMBER(SEARCH('Карта учёта'!$B$25,Расходка[[#This Row],[Наименование расходного материала]])),MAX($Q$1:Q45)+1,0)</f>
        <v>45</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
      </c>
      <c r="U46" s="114" t="str">
        <f>IFERROR(INDEX(Расходка[Наименование расходного материала],MATCH(Расходка[[#This Row],[№]],Поиск_расходки[Индекс4],0)),"")</f>
        <v/>
      </c>
      <c r="V46" s="114" t="str">
        <f>IFERROR(INDEX(Расходка[Наименование расходного материала],MATCH(Расходка[[#This Row],[№]],Поиск_расходки[Индекс5],0)),"")</f>
        <v/>
      </c>
      <c r="W46" s="114" t="str">
        <f>IFERROR(INDEX(Расходка[Наименование расходного материала],MATCH(Расходка[[#This Row],[№]],Поиск_расходки[Индекс6],0)),"")</f>
        <v/>
      </c>
      <c r="X46" s="114" t="str">
        <f>IFERROR(INDEX(Расходка[Наименование расходного материала],MATCH(Расходка[[#This Row],[№]],Поиск_расходки[Индекс7],0)),"")</f>
        <v/>
      </c>
      <c r="Y46" s="114" t="str">
        <f>IFERROR(INDEX(Расходка[Наименование расходного материала],MATCH(Расходка[[#This Row],[№]],Поиск_расходки[Индекс8],0)),"")</f>
        <v/>
      </c>
      <c r="Z46" s="114" t="str">
        <f>IFERROR(INDEX(Расходка[Наименование расходного материала],MATCH(Расходка[[#This Row],[№]],Поиск_расходки[Индекс9],0)),"")</f>
        <v/>
      </c>
      <c r="AA46" s="114" t="str">
        <f>IFERROR(INDEX(Расходка[Наименование расходного материала],MATCH(Расходка[[#This Row],[№]],Поиск_расходки[Индекс10],0)),"")</f>
        <v/>
      </c>
      <c r="AB46" s="114" t="str">
        <f>IFERROR(INDEX(Расходка[Наименование расходного материала],MATCH(Расходка[[#This Row],[№]],Поиск_расходки[Индекс11],0)),"")</f>
        <v/>
      </c>
      <c r="AC46" s="114" t="str">
        <f>IFERROR(INDEX(Расходка[Наименование расходного материала],MATCH(Расходка[[#This Row],[№]],Поиск_расходки[Индекс12],0)),"")</f>
        <v>Abbot Whisper LS</v>
      </c>
      <c r="AD46" s="114" t="str">
        <f>IFERROR(INDEX(Расходка[Наименование расходного материала],MATCH(Расходка[[#This Row],[№]],Поиск_расходки[Индекс13],0)),"")</f>
        <v>Abbot Whisper LS</v>
      </c>
      <c r="AF46" s="4" t="s">
        <v>6</v>
      </c>
      <c r="AG46" s="4" t="s">
        <v>438</v>
      </c>
    </row>
    <row r="47" spans="1:33">
      <c r="A47">
        <f>ROW(Расходка[[#This Row],[Тип расходного материала ]])-1</f>
        <v>46</v>
      </c>
      <c r="B47" t="s">
        <v>3</v>
      </c>
      <c r="C47" t="s">
        <v>360</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0</v>
      </c>
      <c r="H47" s="115">
        <f>IF(ISNUMBER(SEARCH('Карта учёта'!$B$16,Расходка[[#This Row],[Наименование расходного материала]])),MAX($H$1:H46)+1,0)</f>
        <v>0</v>
      </c>
      <c r="I47" s="115">
        <f>IF(ISNUMBER(SEARCH('Карта учёта'!$B$17,Расходка[[#This Row],[Наименование расходного материала]])),MAX($I$1:I46)+1,0)</f>
        <v>0</v>
      </c>
      <c r="J47" s="115">
        <f>IF(ISNUMBER(SEARCH('Карта учёта'!$B$18,Расходка[[#This Row],[Наименование расходного материала]])),MAX($J$1:J46)+1,0)</f>
        <v>0</v>
      </c>
      <c r="K47" s="115">
        <f>IF(ISNUMBER(SEARCH('Карта учёта'!$B$19,Расходка[[#This Row],[Наименование расходного материала]])),MAX($K$1:K46)+1,0)</f>
        <v>0</v>
      </c>
      <c r="L47" s="115">
        <f>IF(ISNUMBER(SEARCH('Карта учёта'!$B$20,Расходка[[#This Row],[Наименование расходного материала]])),MAX($L$1:L46)+1,0)</f>
        <v>0</v>
      </c>
      <c r="M47" s="115">
        <f>IF(ISNUMBER(SEARCH('Карта учёта'!$B$21,Расходка[[#This Row],[Наименование расходного материала]])),MAX($M$1:M46)+1,0)</f>
        <v>0</v>
      </c>
      <c r="N47" s="115">
        <f>IF(ISNUMBER(SEARCH('Карта учёта'!$B$22,Расходка[[#This Row],[Наименование расходного материала]])),MAX($N$1:N46)+1,0)</f>
        <v>0</v>
      </c>
      <c r="O47" s="115">
        <f>IF(ISNUMBER(SEARCH('Карта учёта'!$B$23,Расходка[[#This Row],[Наименование расходного материала]])),MAX($O$1:O46)+1,0)</f>
        <v>0</v>
      </c>
      <c r="P47" s="115">
        <f>IF(ISNUMBER(SEARCH('Карта учёта'!$B$24,Расходка[[#This Row],[Наименование расходного материала]])),MAX($P$1:P46)+1,0)</f>
        <v>46</v>
      </c>
      <c r="Q47" s="115">
        <f>IF(ISNUMBER(SEARCH('Карта учёта'!$B$25,Расходка[[#This Row],[Наименование расходного материала]])),MAX($Q$1:Q46)+1,0)</f>
        <v>46</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
      </c>
      <c r="U47" s="114" t="str">
        <f>IFERROR(INDEX(Расходка[Наименование расходного материала],MATCH(Расходка[[#This Row],[№]],Поиск_расходки[Индекс4],0)),"")</f>
        <v/>
      </c>
      <c r="V47" s="114" t="str">
        <f>IFERROR(INDEX(Расходка[Наименование расходного материала],MATCH(Расходка[[#This Row],[№]],Поиск_расходки[Индекс5],0)),"")</f>
        <v/>
      </c>
      <c r="W47" s="114" t="str">
        <f>IFERROR(INDEX(Расходка[Наименование расходного материала],MATCH(Расходка[[#This Row],[№]],Поиск_расходки[Индекс6],0)),"")</f>
        <v/>
      </c>
      <c r="X47" s="114" t="str">
        <f>IFERROR(INDEX(Расходка[Наименование расходного материала],MATCH(Расходка[[#This Row],[№]],Поиск_расходки[Индекс7],0)),"")</f>
        <v/>
      </c>
      <c r="Y47" s="114" t="str">
        <f>IFERROR(INDEX(Расходка[Наименование расходного материала],MATCH(Расходка[[#This Row],[№]],Поиск_расходки[Индекс8],0)),"")</f>
        <v/>
      </c>
      <c r="Z47" s="114" t="str">
        <f>IFERROR(INDEX(Расходка[Наименование расходного материала],MATCH(Расходка[[#This Row],[№]],Поиск_расходки[Индекс9],0)),"")</f>
        <v/>
      </c>
      <c r="AA47" s="114" t="str">
        <f>IFERROR(INDEX(Расходка[Наименование расходного материала],MATCH(Расходка[[#This Row],[№]],Поиск_расходки[Индекс10],0)),"")</f>
        <v/>
      </c>
      <c r="AB47" s="114" t="str">
        <f>IFERROR(INDEX(Расходка[Наименование расходного материала],MATCH(Расходка[[#This Row],[№]],Поиск_расходки[Индекс11],0)),"")</f>
        <v/>
      </c>
      <c r="AC47" s="114" t="str">
        <f>IFERROR(INDEX(Расходка[Наименование расходного материала],MATCH(Расходка[[#This Row],[№]],Поиск_расходки[Индекс12],0)),"")</f>
        <v>Winn 200T</v>
      </c>
      <c r="AD47" s="114" t="str">
        <f>IFERROR(INDEX(Расходка[Наименование расходного материала],MATCH(Расходка[[#This Row],[№]],Поиск_расходки[Индекс13],0)),"")</f>
        <v>Winn 200T</v>
      </c>
      <c r="AF47" s="4" t="s">
        <v>6</v>
      </c>
      <c r="AG47" s="4" t="s">
        <v>439</v>
      </c>
    </row>
    <row r="48" spans="1:33">
      <c r="A48">
        <f>ROW(Расходка[[#This Row],[Тип расходного материала ]])-1</f>
        <v>47</v>
      </c>
      <c r="B48" t="s">
        <v>3</v>
      </c>
      <c r="C48" t="s">
        <v>345</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0</v>
      </c>
      <c r="H48" s="115">
        <f>IF(ISNUMBER(SEARCH('Карта учёта'!$B$16,Расходка[[#This Row],[Наименование расходного материала]])),MAX($H$1:H47)+1,0)</f>
        <v>0</v>
      </c>
      <c r="I48" s="115">
        <f>IF(ISNUMBER(SEARCH('Карта учёта'!$B$17,Расходка[[#This Row],[Наименование расходного материала]])),MAX($I$1:I47)+1,0)</f>
        <v>0</v>
      </c>
      <c r="J48" s="115">
        <f>IF(ISNUMBER(SEARCH('Карта учёта'!$B$18,Расходка[[#This Row],[Наименование расходного материала]])),MAX($J$1:J47)+1,0)</f>
        <v>0</v>
      </c>
      <c r="K48" s="115">
        <f>IF(ISNUMBER(SEARCH('Карта учёта'!$B$19,Расходка[[#This Row],[Наименование расходного материала]])),MAX($K$1:K47)+1,0)</f>
        <v>0</v>
      </c>
      <c r="L48" s="115">
        <f>IF(ISNUMBER(SEARCH('Карта учёта'!$B$20,Расходка[[#This Row],[Наименование расходного материала]])),MAX($L$1:L47)+1,0)</f>
        <v>0</v>
      </c>
      <c r="M48" s="115">
        <f>IF(ISNUMBER(SEARCH('Карта учёта'!$B$21,Расходка[[#This Row],[Наименование расходного материала]])),MAX($M$1:M47)+1,0)</f>
        <v>0</v>
      </c>
      <c r="N48" s="115">
        <f>IF(ISNUMBER(SEARCH('Карта учёта'!$B$22,Расходка[[#This Row],[Наименование расходного материала]])),MAX($N$1:N47)+1,0)</f>
        <v>0</v>
      </c>
      <c r="O48" s="115">
        <f>IF(ISNUMBER(SEARCH('Карта учёта'!$B$23,Расходка[[#This Row],[Наименование расходного материала]])),MAX($O$1:O47)+1,0)</f>
        <v>0</v>
      </c>
      <c r="P48" s="115">
        <f>IF(ISNUMBER(SEARCH('Карта учёта'!$B$24,Расходка[[#This Row],[Наименование расходного материала]])),MAX($P$1:P47)+1,0)</f>
        <v>47</v>
      </c>
      <c r="Q48" s="115">
        <f>IF(ISNUMBER(SEARCH('Карта учёта'!$B$25,Расходка[[#This Row],[Наименование расходного материала]])),MAX($Q$1:Q47)+1,0)</f>
        <v>47</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
      </c>
      <c r="U48" s="114" t="str">
        <f>IFERROR(INDEX(Расходка[Наименование расходного материала],MATCH(Расходка[[#This Row],[№]],Поиск_расходки[Индекс4],0)),"")</f>
        <v/>
      </c>
      <c r="V48" s="114" t="str">
        <f>IFERROR(INDEX(Расходка[Наименование расходного материала],MATCH(Расходка[[#This Row],[№]],Поиск_расходки[Индекс5],0)),"")</f>
        <v/>
      </c>
      <c r="W48" s="114" t="str">
        <f>IFERROR(INDEX(Расходка[Наименование расходного материала],MATCH(Расходка[[#This Row],[№]],Поиск_расходки[Индекс6],0)),"")</f>
        <v/>
      </c>
      <c r="X48" s="114" t="str">
        <f>IFERROR(INDEX(Расходка[Наименование расходного материала],MATCH(Расходка[[#This Row],[№]],Поиск_расходки[Индекс7],0)),"")</f>
        <v/>
      </c>
      <c r="Y48" s="114" t="str">
        <f>IFERROR(INDEX(Расходка[Наименование расходного материала],MATCH(Расходка[[#This Row],[№]],Поиск_расходки[Индекс8],0)),"")</f>
        <v/>
      </c>
      <c r="Z48" s="114" t="str">
        <f>IFERROR(INDEX(Расходка[Наименование расходного материала],MATCH(Расходка[[#This Row],[№]],Поиск_расходки[Индекс9],0)),"")</f>
        <v/>
      </c>
      <c r="AA48" s="114" t="str">
        <f>IFERROR(INDEX(Расходка[Наименование расходного материала],MATCH(Расходка[[#This Row],[№]],Поиск_расходки[Индекс10],0)),"")</f>
        <v/>
      </c>
      <c r="AB48" s="114" t="str">
        <f>IFERROR(INDEX(Расходка[Наименование расходного материала],MATCH(Расходка[[#This Row],[№]],Поиск_расходки[Индекс11],0)),"")</f>
        <v/>
      </c>
      <c r="AC48" s="114" t="str">
        <f>IFERROR(INDEX(Расходка[Наименование расходного материала],MATCH(Расходка[[#This Row],[№]],Поиск_расходки[Индекс12],0)),"")</f>
        <v>Проводник коронарный  1g, Angioline</v>
      </c>
      <c r="AD48" s="114" t="str">
        <f>IFERROR(INDEX(Расходка[Наименование расходного материала],MATCH(Расходка[[#This Row],[№]],Поиск_расходки[Индекс13],0)),"")</f>
        <v>Проводник коронарный  1g, Angioline</v>
      </c>
      <c r="AF48" s="4" t="s">
        <v>6</v>
      </c>
      <c r="AG48" s="4" t="s">
        <v>440</v>
      </c>
    </row>
    <row r="49" spans="1:33">
      <c r="A49">
        <f>ROW(Расходка[[#This Row],[Тип расходного материала ]])-1</f>
        <v>48</v>
      </c>
      <c r="B49" t="s">
        <v>3</v>
      </c>
      <c r="C49" t="s">
        <v>508</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0</v>
      </c>
      <c r="H49" s="115">
        <f>IF(ISNUMBER(SEARCH('Карта учёта'!$B$16,Расходка[[#This Row],[Наименование расходного материала]])),MAX($H$1:H48)+1,0)</f>
        <v>0</v>
      </c>
      <c r="I49" s="115">
        <f>IF(ISNUMBER(SEARCH('Карта учёта'!$B$17,Расходка[[#This Row],[Наименование расходного материала]])),MAX($I$1:I48)+1,0)</f>
        <v>0</v>
      </c>
      <c r="J49" s="115">
        <f>IF(ISNUMBER(SEARCH('Карта учёта'!$B$18,Расходка[[#This Row],[Наименование расходного материала]])),MAX($J$1:J48)+1,0)</f>
        <v>0</v>
      </c>
      <c r="K49" s="115">
        <f>IF(ISNUMBER(SEARCH('Карта учёта'!$B$19,Расходка[[#This Row],[Наименование расходного материала]])),MAX($K$1:K48)+1,0)</f>
        <v>0</v>
      </c>
      <c r="L49" s="115">
        <f>IF(ISNUMBER(SEARCH('Карта учёта'!$B$20,Расходка[[#This Row],[Наименование расходного материала]])),MAX($L$1:L48)+1,0)</f>
        <v>0</v>
      </c>
      <c r="M49" s="115">
        <f>IF(ISNUMBER(SEARCH('Карта учёта'!$B$21,Расходка[[#This Row],[Наименование расходного материала]])),MAX($M$1:M48)+1,0)</f>
        <v>0</v>
      </c>
      <c r="N49" s="115">
        <f>IF(ISNUMBER(SEARCH('Карта учёта'!$B$22,Расходка[[#This Row],[Наименование расходного материала]])),MAX($N$1:N48)+1,0)</f>
        <v>0</v>
      </c>
      <c r="O49" s="115">
        <f>IF(ISNUMBER(SEARCH('Карта учёта'!$B$23,Расходка[[#This Row],[Наименование расходного материала]])),MAX($O$1:O48)+1,0)</f>
        <v>0</v>
      </c>
      <c r="P49" s="115">
        <f>IF(ISNUMBER(SEARCH('Карта учёта'!$B$24,Расходка[[#This Row],[Наименование расходного материала]])),MAX($P$1:P48)+1,0)</f>
        <v>48</v>
      </c>
      <c r="Q49" s="115">
        <f>IF(ISNUMBER(SEARCH('Карта учёта'!$B$25,Расходка[[#This Row],[Наименование расходного материала]])),MAX($Q$1:Q48)+1,0)</f>
        <v>48</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
      </c>
      <c r="U49" s="114" t="str">
        <f>IFERROR(INDEX(Расходка[Наименование расходного материала],MATCH(Расходка[[#This Row],[№]],Поиск_расходки[Индекс4],0)),"")</f>
        <v/>
      </c>
      <c r="V49" s="114" t="str">
        <f>IFERROR(INDEX(Расходка[Наименование расходного материала],MATCH(Расходка[[#This Row],[№]],Поиск_расходки[Индекс5],0)),"")</f>
        <v/>
      </c>
      <c r="W49" s="114" t="str">
        <f>IFERROR(INDEX(Расходка[Наименование расходного материала],MATCH(Расходка[[#This Row],[№]],Поиск_расходки[Индекс6],0)),"")</f>
        <v/>
      </c>
      <c r="X49" s="114" t="str">
        <f>IFERROR(INDEX(Расходка[Наименование расходного материала],MATCH(Расходка[[#This Row],[№]],Поиск_расходки[Индекс7],0)),"")</f>
        <v/>
      </c>
      <c r="Y49" s="114" t="str">
        <f>IFERROR(INDEX(Расходка[Наименование расходного материала],MATCH(Расходка[[#This Row],[№]],Поиск_расходки[Индекс8],0)),"")</f>
        <v/>
      </c>
      <c r="Z49" s="114" t="str">
        <f>IFERROR(INDEX(Расходка[Наименование расходного материала],MATCH(Расходка[[#This Row],[№]],Поиск_расходки[Индекс9],0)),"")</f>
        <v/>
      </c>
      <c r="AA49" s="114" t="str">
        <f>IFERROR(INDEX(Расходка[Наименование расходного материала],MATCH(Расходка[[#This Row],[№]],Поиск_расходки[Индекс10],0)),"")</f>
        <v/>
      </c>
      <c r="AB49" s="114" t="str">
        <f>IFERROR(INDEX(Расходка[Наименование расходного материала],MATCH(Расходка[[#This Row],[№]],Поиск_расходки[Индекс11],0)),"")</f>
        <v/>
      </c>
      <c r="AC49" s="114" t="str">
        <f>IFERROR(INDEX(Расходка[Наименование расходного материала],MATCH(Расходка[[#This Row],[№]],Поиск_расходки[Индекс12],0)),"")</f>
        <v>Проводник коронарный  0,8g, Angioline</v>
      </c>
      <c r="AD49" s="114" t="str">
        <f>IFERROR(INDEX(Расходка[Наименование расходного материала],MATCH(Расходка[[#This Row],[№]],Поиск_расходки[Индекс13],0)),"")</f>
        <v>Проводник коронарный  0,8g, Angioline</v>
      </c>
      <c r="AF49" s="4" t="s">
        <v>6</v>
      </c>
      <c r="AG49" s="4" t="s">
        <v>441</v>
      </c>
    </row>
    <row r="50" spans="1:33">
      <c r="A50">
        <f>ROW(Расходка[[#This Row],[Тип расходного материала ]])-1</f>
        <v>49</v>
      </c>
      <c r="B50" t="s">
        <v>3</v>
      </c>
      <c r="C50" t="s">
        <v>96</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0</v>
      </c>
      <c r="H50" s="115">
        <f>IF(ISNUMBER(SEARCH('Карта учёта'!$B$16,Расходка[[#This Row],[Наименование расходного материала]])),MAX($H$1:H49)+1,0)</f>
        <v>0</v>
      </c>
      <c r="I50" s="115">
        <f>IF(ISNUMBER(SEARCH('Карта учёта'!$B$17,Расходка[[#This Row],[Наименование расходного материала]])),MAX($I$1:I49)+1,0)</f>
        <v>0</v>
      </c>
      <c r="J50" s="115">
        <f>IF(ISNUMBER(SEARCH('Карта учёта'!$B$18,Расходка[[#This Row],[Наименование расходного материала]])),MAX($J$1:J49)+1,0)</f>
        <v>0</v>
      </c>
      <c r="K50" s="115">
        <f>IF(ISNUMBER(SEARCH('Карта учёта'!$B$19,Расходка[[#This Row],[Наименование расходного материала]])),MAX($K$1:K49)+1,0)</f>
        <v>0</v>
      </c>
      <c r="L50" s="115">
        <f>IF(ISNUMBER(SEARCH('Карта учёта'!$B$20,Расходка[[#This Row],[Наименование расходного материала]])),MAX($L$1:L49)+1,0)</f>
        <v>0</v>
      </c>
      <c r="M50" s="115">
        <f>IF(ISNUMBER(SEARCH('Карта учёта'!$B$21,Расходка[[#This Row],[Наименование расходного материала]])),MAX($M$1:M49)+1,0)</f>
        <v>0</v>
      </c>
      <c r="N50" s="115">
        <f>IF(ISNUMBER(SEARCH('Карта учёта'!$B$22,Расходка[[#This Row],[Наименование расходного материала]])),MAX($N$1:N49)+1,0)</f>
        <v>0</v>
      </c>
      <c r="O50" s="115">
        <f>IF(ISNUMBER(SEARCH('Карта учёта'!$B$23,Расходка[[#This Row],[Наименование расходного материала]])),MAX($O$1:O49)+1,0)</f>
        <v>0</v>
      </c>
      <c r="P50" s="115">
        <f>IF(ISNUMBER(SEARCH('Карта учёта'!$B$24,Расходка[[#This Row],[Наименование расходного материала]])),MAX($P$1:P49)+1,0)</f>
        <v>49</v>
      </c>
      <c r="Q50" s="115">
        <f>IF(ISNUMBER(SEARCH('Карта учёта'!$B$25,Расходка[[#This Row],[Наименование расходного материала]])),MAX($Q$1:Q49)+1,0)</f>
        <v>49</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
      </c>
      <c r="U50" s="114" t="str">
        <f>IFERROR(INDEX(Расходка[Наименование расходного материала],MATCH(Расходка[[#This Row],[№]],Поиск_расходки[Индекс4],0)),"")</f>
        <v/>
      </c>
      <c r="V50" s="114" t="str">
        <f>IFERROR(INDEX(Расходка[Наименование расходного материала],MATCH(Расходка[[#This Row],[№]],Поиск_расходки[Индекс5],0)),"")</f>
        <v/>
      </c>
      <c r="W50" s="114" t="str">
        <f>IFERROR(INDEX(Расходка[Наименование расходного материала],MATCH(Расходка[[#This Row],[№]],Поиск_расходки[Индекс6],0)),"")</f>
        <v/>
      </c>
      <c r="X50" s="114" t="str">
        <f>IFERROR(INDEX(Расходка[Наименование расходного материала],MATCH(Расходка[[#This Row],[№]],Поиск_расходки[Индекс7],0)),"")</f>
        <v/>
      </c>
      <c r="Y50" s="114" t="str">
        <f>IFERROR(INDEX(Расходка[Наименование расходного материала],MATCH(Расходка[[#This Row],[№]],Поиск_расходки[Индекс8],0)),"")</f>
        <v/>
      </c>
      <c r="Z50" s="114" t="str">
        <f>IFERROR(INDEX(Расходка[Наименование расходного материала],MATCH(Расходка[[#This Row],[№]],Поиск_расходки[Индекс9],0)),"")</f>
        <v/>
      </c>
      <c r="AA50" s="114" t="str">
        <f>IFERROR(INDEX(Расходка[Наименование расходного материала],MATCH(Расходка[[#This Row],[№]],Поиск_расходки[Индекс10],0)),"")</f>
        <v/>
      </c>
      <c r="AB50" s="114" t="str">
        <f>IFERROR(INDEX(Расходка[Наименование расходного материала],MATCH(Расходка[[#This Row],[№]],Поиск_расходки[Индекс11],0)),"")</f>
        <v/>
      </c>
      <c r="AC50" s="114" t="str">
        <f>IFERROR(INDEX(Расходка[Наименование расходного материала],MATCH(Расходка[[#This Row],[№]],Поиск_расходки[Индекс12],0)),"")</f>
        <v>Проводник коронарный  3g, Angioline</v>
      </c>
      <c r="AD50" s="114" t="str">
        <f>IFERROR(INDEX(Расходка[Наименование расходного материала],MATCH(Расходка[[#This Row],[№]],Поиск_расходки[Индекс13],0)),"")</f>
        <v>Проводник коронарный  3g, Angioline</v>
      </c>
      <c r="AF50" s="4" t="s">
        <v>6</v>
      </c>
      <c r="AG50" s="4" t="s">
        <v>442</v>
      </c>
    </row>
    <row r="51" spans="1:33">
      <c r="A51">
        <f>ROW(Расходка[[#This Row],[Тип расходного материала ]])-1</f>
        <v>50</v>
      </c>
      <c r="B51" t="s">
        <v>3</v>
      </c>
      <c r="C51" t="s">
        <v>506</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0</v>
      </c>
      <c r="H51" s="115">
        <f>IF(ISNUMBER(SEARCH('Карта учёта'!$B$16,Расходка[[#This Row],[Наименование расходного материала]])),MAX($H$1:H50)+1,0)</f>
        <v>0</v>
      </c>
      <c r="I51" s="115">
        <f>IF(ISNUMBER(SEARCH('Карта учёта'!$B$17,Расходка[[#This Row],[Наименование расходного материала]])),MAX($I$1:I50)+1,0)</f>
        <v>0</v>
      </c>
      <c r="J51" s="115">
        <f>IF(ISNUMBER(SEARCH('Карта учёта'!$B$18,Расходка[[#This Row],[Наименование расходного материала]])),MAX($J$1:J50)+1,0)</f>
        <v>0</v>
      </c>
      <c r="K51" s="115">
        <f>IF(ISNUMBER(SEARCH('Карта учёта'!$B$19,Расходка[[#This Row],[Наименование расходного материала]])),MAX($K$1:K50)+1,0)</f>
        <v>0</v>
      </c>
      <c r="L51" s="115">
        <f>IF(ISNUMBER(SEARCH('Карта учёта'!$B$20,Расходка[[#This Row],[Наименование расходного материала]])),MAX($L$1:L50)+1,0)</f>
        <v>0</v>
      </c>
      <c r="M51" s="115">
        <f>IF(ISNUMBER(SEARCH('Карта учёта'!$B$21,Расходка[[#This Row],[Наименование расходного материала]])),MAX($M$1:M50)+1,0)</f>
        <v>0</v>
      </c>
      <c r="N51" s="115">
        <f>IF(ISNUMBER(SEARCH('Карта учёта'!$B$22,Расходка[[#This Row],[Наименование расходного материала]])),MAX($N$1:N50)+1,0)</f>
        <v>0</v>
      </c>
      <c r="O51" s="115">
        <f>IF(ISNUMBER(SEARCH('Карта учёта'!$B$23,Расходка[[#This Row],[Наименование расходного материала]])),MAX($O$1:O50)+1,0)</f>
        <v>0</v>
      </c>
      <c r="P51" s="115">
        <f>IF(ISNUMBER(SEARCH('Карта учёта'!$B$24,Расходка[[#This Row],[Наименование расходного материала]])),MAX($P$1:P50)+1,0)</f>
        <v>50</v>
      </c>
      <c r="Q51" s="115">
        <f>IF(ISNUMBER(SEARCH('Карта учёта'!$B$25,Расходка[[#This Row],[Наименование расходного материала]])),MAX($Q$1:Q50)+1,0)</f>
        <v>50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
      </c>
      <c r="U51" s="114" t="str">
        <f>IFERROR(INDEX(Расходка[Наименование расходного материала],MATCH(Расходка[[#This Row],[№]],Поиск_расходки[Индекс4],0)),"")</f>
        <v/>
      </c>
      <c r="V51" s="114" t="str">
        <f>IFERROR(INDEX(Расходка[Наименование расходного материала],MATCH(Расходка[[#This Row],[№]],Поиск_расходки[Индекс5],0)),"")</f>
        <v/>
      </c>
      <c r="W51" s="114" t="str">
        <f>IFERROR(INDEX(Расходка[Наименование расходного материала],MATCH(Расходка[[#This Row],[№]],Поиск_расходки[Индекс6],0)),"")</f>
        <v/>
      </c>
      <c r="X51" s="114" t="str">
        <f>IFERROR(INDEX(Расходка[Наименование расходного материала],MATCH(Расходка[[#This Row],[№]],Поиск_расходки[Индекс7],0)),"")</f>
        <v/>
      </c>
      <c r="Y51" s="114" t="str">
        <f>IFERROR(INDEX(Расходка[Наименование расходного материала],MATCH(Расходка[[#This Row],[№]],Поиск_расходки[Индекс8],0)),"")</f>
        <v/>
      </c>
      <c r="Z51" s="114" t="str">
        <f>IFERROR(INDEX(Расходка[Наименование расходного материала],MATCH(Расходка[[#This Row],[№]],Поиск_расходки[Индекс9],0)),"")</f>
        <v/>
      </c>
      <c r="AA51" s="114" t="str">
        <f>IFERROR(INDEX(Расходка[Наименование расходного материала],MATCH(Расходка[[#This Row],[№]],Поиск_расходки[Индекс10],0)),"")</f>
        <v/>
      </c>
      <c r="AB51" s="114" t="str">
        <f>IFERROR(INDEX(Расходка[Наименование расходного материала],MATCH(Расходка[[#This Row],[№]],Поиск_расходки[Индекс11],0)),"")</f>
        <v/>
      </c>
      <c r="AC51" s="114" t="str">
        <f>IFERROR(INDEX(Расходка[Наименование расходного материала],MATCH(Расходка[[#This Row],[№]],Поиск_расходки[Индекс12],0)),"")</f>
        <v xml:space="preserve">Balancium </v>
      </c>
      <c r="AD51" s="114" t="str">
        <f>IFERROR(INDEX(Расходка[Наименование расходного материала],MATCH(Расходка[[#This Row],[№]],Поиск_расходки[Индекс13],0)),"")</f>
        <v xml:space="preserve">Balancium </v>
      </c>
      <c r="AF51" s="4" t="s">
        <v>6</v>
      </c>
      <c r="AG51" s="4" t="s">
        <v>443</v>
      </c>
    </row>
    <row r="52" spans="1:33">
      <c r="A52">
        <f>ROW(Расходка[[#This Row],[Тип расходного материала ]])-1</f>
        <v>51</v>
      </c>
      <c r="B52" t="s">
        <v>3</v>
      </c>
      <c r="C52" t="s">
        <v>531</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0</v>
      </c>
      <c r="H52" s="115">
        <f>IF(ISNUMBER(SEARCH('Карта учёта'!$B$16,Расходка[[#This Row],[Наименование расходного материала]])),MAX($H$1:H51)+1,0)</f>
        <v>0</v>
      </c>
      <c r="I52" s="115">
        <f>IF(ISNUMBER(SEARCH('Карта учёта'!$B$17,Расходка[[#This Row],[Наименование расходного материала]])),MAX($I$1:I51)+1,0)</f>
        <v>0</v>
      </c>
      <c r="J52" s="115">
        <f>IF(ISNUMBER(SEARCH('Карта учёта'!$B$18,Расходка[[#This Row],[Наименование расходного материала]])),MAX($J$1:J51)+1,0)</f>
        <v>0</v>
      </c>
      <c r="K52" s="115">
        <f>IF(ISNUMBER(SEARCH('Карта учёта'!$B$19,Расходка[[#This Row],[Наименование расходного материала]])),MAX($K$1:K51)+1,0)</f>
        <v>0</v>
      </c>
      <c r="L52" s="115">
        <f>IF(ISNUMBER(SEARCH('Карта учёта'!$B$20,Расходка[[#This Row],[Наименование расходного материала]])),MAX($L$1:L51)+1,0)</f>
        <v>0</v>
      </c>
      <c r="M52" s="115">
        <f>IF(ISNUMBER(SEARCH('Карта учёта'!$B$21,Расходка[[#This Row],[Наименование расходного материала]])),MAX($M$1:M51)+1,0)</f>
        <v>0</v>
      </c>
      <c r="N52" s="115">
        <f>IF(ISNUMBER(SEARCH('Карта учёта'!$B$22,Расходка[[#This Row],[Наименование расходного материала]])),MAX($N$1:N51)+1,0)</f>
        <v>0</v>
      </c>
      <c r="O52" s="115">
        <f>IF(ISNUMBER(SEARCH('Карта учёта'!$B$23,Расходка[[#This Row],[Наименование расходного материала]])),MAX($O$1:O51)+1,0)</f>
        <v>0</v>
      </c>
      <c r="P52" s="115">
        <f>IF(ISNUMBER(SEARCH('Карта учёта'!$B$24,Расходка[[#This Row],[Наименование расходного материала]])),MAX($P$1:P51)+1,0)</f>
        <v>51</v>
      </c>
      <c r="Q52" s="115">
        <f>IF(ISNUMBER(SEARCH('Карта учёта'!$B$25,Расходка[[#This Row],[Наименование расходного материала]])),MAX($Q$1:Q51)+1,0)</f>
        <v>51</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
      </c>
      <c r="U52" s="114" t="str">
        <f>IFERROR(INDEX(Расходка[Наименование расходного материала],MATCH(Расходка[[#This Row],[№]],Поиск_расходки[Индекс4],0)),"")</f>
        <v/>
      </c>
      <c r="V52" s="114" t="str">
        <f>IFERROR(INDEX(Расходка[Наименование расходного материала],MATCH(Расходка[[#This Row],[№]],Поиск_расходки[Индекс5],0)),"")</f>
        <v/>
      </c>
      <c r="W52" s="114" t="str">
        <f>IFERROR(INDEX(Расходка[Наименование расходного материала],MATCH(Расходка[[#This Row],[№]],Поиск_расходки[Индекс6],0)),"")</f>
        <v/>
      </c>
      <c r="X52" s="114" t="str">
        <f>IFERROR(INDEX(Расходка[Наименование расходного материала],MATCH(Расходка[[#This Row],[№]],Поиск_расходки[Индекс7],0)),"")</f>
        <v/>
      </c>
      <c r="Y52" s="114" t="str">
        <f>IFERROR(INDEX(Расходка[Наименование расходного материала],MATCH(Расходка[[#This Row],[№]],Поиск_расходки[Индекс8],0)),"")</f>
        <v/>
      </c>
      <c r="Z52" s="114" t="str">
        <f>IFERROR(INDEX(Расходка[Наименование расходного материала],MATCH(Расходка[[#This Row],[№]],Поиск_расходки[Индекс9],0)),"")</f>
        <v/>
      </c>
      <c r="AA52" s="114" t="str">
        <f>IFERROR(INDEX(Расходка[Наименование расходного материала],MATCH(Расходка[[#This Row],[№]],Поиск_расходки[Индекс10],0)),"")</f>
        <v/>
      </c>
      <c r="AB52" s="114" t="str">
        <f>IFERROR(INDEX(Расходка[Наименование расходного материала],MATCH(Расходка[[#This Row],[№]],Поиск_расходки[Индекс11],0)),"")</f>
        <v/>
      </c>
      <c r="AC52" s="114" t="str">
        <f>IFERROR(INDEX(Расходка[Наименование расходного материала],MATCH(Расходка[[#This Row],[№]],Поиск_расходки[Индекс12],0)),"")</f>
        <v>Shunmei 0,6</v>
      </c>
      <c r="AD52" s="114" t="str">
        <f>IFERROR(INDEX(Расходка[Наименование расходного материала],MATCH(Расходка[[#This Row],[№]],Поиск_расходки[Индекс13],0)),"")</f>
        <v>Shunmei 0,6</v>
      </c>
      <c r="AF52" s="4" t="s">
        <v>6</v>
      </c>
      <c r="AG52" s="4" t="s">
        <v>444</v>
      </c>
    </row>
    <row r="53" spans="1:33">
      <c r="A53">
        <f>ROW(Расходка[[#This Row],[Тип расходного материала ]])-1</f>
        <v>52</v>
      </c>
      <c r="B53" t="s">
        <v>3</v>
      </c>
      <c r="C53" t="s">
        <v>532</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0</v>
      </c>
      <c r="H53" s="115">
        <f>IF(ISNUMBER(SEARCH('Карта учёта'!$B$16,Расходка[[#This Row],[Наименование расходного материала]])),MAX($H$1:H52)+1,0)</f>
        <v>1</v>
      </c>
      <c r="I53" s="115">
        <f>IF(ISNUMBER(SEARCH('Карта учёта'!$B$17,Расходка[[#This Row],[Наименование расходного материала]])),MAX($I$1:I52)+1,0)</f>
        <v>0</v>
      </c>
      <c r="J53" s="115">
        <f>IF(ISNUMBER(SEARCH('Карта учёта'!$B$18,Расходка[[#This Row],[Наименование расходного материала]])),MAX($J$1:J52)+1,0)</f>
        <v>0</v>
      </c>
      <c r="K53" s="115">
        <f>IF(ISNUMBER(SEARCH('Карта учёта'!$B$19,Расходка[[#This Row],[Наименование расходного материала]])),MAX($K$1:K52)+1,0)</f>
        <v>0</v>
      </c>
      <c r="L53" s="115">
        <f>IF(ISNUMBER(SEARCH('Карта учёта'!$B$20,Расходка[[#This Row],[Наименование расходного материала]])),MAX($L$1:L52)+1,0)</f>
        <v>0</v>
      </c>
      <c r="M53" s="115">
        <f>IF(ISNUMBER(SEARCH('Карта учёта'!$B$21,Расходка[[#This Row],[Наименование расходного материала]])),MAX($M$1:M52)+1,0)</f>
        <v>0</v>
      </c>
      <c r="N53" s="115">
        <f>IF(ISNUMBER(SEARCH('Карта учёта'!$B$22,Расходка[[#This Row],[Наименование расходного материала]])),MAX($N$1:N52)+1,0)</f>
        <v>0</v>
      </c>
      <c r="O53" s="115">
        <f>IF(ISNUMBER(SEARCH('Карта учёта'!$B$23,Расходка[[#This Row],[Наименование расходного материала]])),MAX($O$1:O52)+1,0)</f>
        <v>0</v>
      </c>
      <c r="P53" s="115">
        <f>IF(ISNUMBER(SEARCH('Карта учёта'!$B$24,Расходка[[#This Row],[Наименование расходного материала]])),MAX($P$1:P52)+1,0)</f>
        <v>52</v>
      </c>
      <c r="Q53" s="115">
        <f>IF(ISNUMBER(SEARCH('Карта учёта'!$B$25,Расходка[[#This Row],[Наименование расходного материала]])),MAX($Q$1:Q52)+1,0)</f>
        <v>52</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c>
      <c r="U53" s="114" t="str">
        <f>IFERROR(INDEX(Расходка[Наименование расходного материала],MATCH(Расходка[[#This Row],[№]],Поиск_расходки[Индекс4],0)),"")</f>
        <v/>
      </c>
      <c r="V53" s="114" t="str">
        <f>IFERROR(INDEX(Расходка[Наименование расходного материала],MATCH(Расходка[[#This Row],[№]],Поиск_расходки[Индекс5],0)),"")</f>
        <v/>
      </c>
      <c r="W53" s="114" t="str">
        <f>IFERROR(INDEX(Расходка[Наименование расходного материала],MATCH(Расходка[[#This Row],[№]],Поиск_расходки[Индекс6],0)),"")</f>
        <v/>
      </c>
      <c r="X53" s="114" t="str">
        <f>IFERROR(INDEX(Расходка[Наименование расходного материала],MATCH(Расходка[[#This Row],[№]],Поиск_расходки[Индекс7],0)),"")</f>
        <v/>
      </c>
      <c r="Y53" s="114" t="str">
        <f>IFERROR(INDEX(Расходка[Наименование расходного материала],MATCH(Расходка[[#This Row],[№]],Поиск_расходки[Индекс8],0)),"")</f>
        <v/>
      </c>
      <c r="Z53" s="114" t="str">
        <f>IFERROR(INDEX(Расходка[Наименование расходного материала],MATCH(Расходка[[#This Row],[№]],Поиск_расходки[Индекс9],0)),"")</f>
        <v/>
      </c>
      <c r="AA53" s="114" t="str">
        <f>IFERROR(INDEX(Расходка[Наименование расходного материала],MATCH(Расходка[[#This Row],[№]],Поиск_расходки[Индекс10],0)),"")</f>
        <v/>
      </c>
      <c r="AB53" s="114" t="str">
        <f>IFERROR(INDEX(Расходка[Наименование расходного материала],MATCH(Расходка[[#This Row],[№]],Поиск_расходки[Индекс11],0)),"")</f>
        <v/>
      </c>
      <c r="AC53" s="114" t="str">
        <f>IFERROR(INDEX(Расходка[Наименование расходного материала],MATCH(Расходка[[#This Row],[№]],Поиск_расходки[Индекс12],0)),"")</f>
        <v>Shunmei 0,7</v>
      </c>
      <c r="AD53" s="114" t="str">
        <f>IFERROR(INDEX(Расходка[Наименование расходного материала],MATCH(Расходка[[#This Row],[№]],Поиск_расходки[Индекс13],0)),"")</f>
        <v>Shunmei 0,7</v>
      </c>
      <c r="AF53" s="4" t="s">
        <v>6</v>
      </c>
      <c r="AG53" s="4" t="s">
        <v>445</v>
      </c>
    </row>
    <row r="54" spans="1:33">
      <c r="A54">
        <f>ROW(Расходка[[#This Row],[Тип расходного материала ]])-1</f>
        <v>53</v>
      </c>
      <c r="B54" t="s">
        <v>3</v>
      </c>
      <c r="C54" t="s">
        <v>519</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0</v>
      </c>
      <c r="H54" s="115">
        <f>IF(ISNUMBER(SEARCH('Карта учёта'!$B$16,Расходка[[#This Row],[Наименование расходного материала]])),MAX($H$1:H53)+1,0)</f>
        <v>0</v>
      </c>
      <c r="I54" s="115">
        <f>IF(ISNUMBER(SEARCH('Карта учёта'!$B$17,Расходка[[#This Row],[Наименование расходного материала]])),MAX($I$1:I53)+1,0)</f>
        <v>0</v>
      </c>
      <c r="J54" s="115">
        <f>IF(ISNUMBER(SEARCH('Карта учёта'!$B$18,Расходка[[#This Row],[Наименование расходного материала]])),MAX($J$1:J53)+1,0)</f>
        <v>0</v>
      </c>
      <c r="K54" s="115">
        <f>IF(ISNUMBER(SEARCH('Карта учёта'!$B$19,Расходка[[#This Row],[Наименование расходного материала]])),MAX($K$1:K53)+1,0)</f>
        <v>0</v>
      </c>
      <c r="L54" s="115">
        <f>IF(ISNUMBER(SEARCH('Карта учёта'!$B$20,Расходка[[#This Row],[Наименование расходного материала]])),MAX($L$1:L53)+1,0)</f>
        <v>0</v>
      </c>
      <c r="M54" s="115">
        <f>IF(ISNUMBER(SEARCH('Карта учёта'!$B$21,Расходка[[#This Row],[Наименование расходного материала]])),MAX($M$1:M53)+1,0)</f>
        <v>0</v>
      </c>
      <c r="N54" s="115">
        <f>IF(ISNUMBER(SEARCH('Карта учёта'!$B$22,Расходка[[#This Row],[Наименование расходного материала]])),MAX($N$1:N53)+1,0)</f>
        <v>0</v>
      </c>
      <c r="O54" s="115">
        <f>IF(ISNUMBER(SEARCH('Карта учёта'!$B$23,Расходка[[#This Row],[Наименование расходного материала]])),MAX($O$1:O53)+1,0)</f>
        <v>0</v>
      </c>
      <c r="P54" s="115">
        <f>IF(ISNUMBER(SEARCH('Карта учёта'!$B$24,Расходка[[#This Row],[Наименование расходного материала]])),MAX($P$1:P53)+1,0)</f>
        <v>53</v>
      </c>
      <c r="Q54" s="115">
        <f>IF(ISNUMBER(SEARCH('Карта учёта'!$B$25,Расходка[[#This Row],[Наименование расходного материала]])),MAX($Q$1:Q53)+1,0)</f>
        <v>53</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
      </c>
      <c r="U54" s="114" t="str">
        <f>IFERROR(INDEX(Расходка[Наименование расходного материала],MATCH(Расходка[[#This Row],[№]],Поиск_расходки[Индекс4],0)),"")</f>
        <v/>
      </c>
      <c r="V54" s="114" t="str">
        <f>IFERROR(INDEX(Расходка[Наименование расходного материала],MATCH(Расходка[[#This Row],[№]],Поиск_расходки[Индекс5],0)),"")</f>
        <v/>
      </c>
      <c r="W54" s="114" t="str">
        <f>IFERROR(INDEX(Расходка[Наименование расходного материала],MATCH(Расходка[[#This Row],[№]],Поиск_расходки[Индекс6],0)),"")</f>
        <v/>
      </c>
      <c r="X54" s="114" t="str">
        <f>IFERROR(INDEX(Расходка[Наименование расходного материала],MATCH(Расходка[[#This Row],[№]],Поиск_расходки[Индекс7],0)),"")</f>
        <v/>
      </c>
      <c r="Y54" s="114" t="str">
        <f>IFERROR(INDEX(Расходка[Наименование расходного материала],MATCH(Расходка[[#This Row],[№]],Поиск_расходки[Индекс8],0)),"")</f>
        <v/>
      </c>
      <c r="Z54" s="114" t="str">
        <f>IFERROR(INDEX(Расходка[Наименование расходного материала],MATCH(Расходка[[#This Row],[№]],Поиск_расходки[Индекс9],0)),"")</f>
        <v/>
      </c>
      <c r="AA54" s="114" t="str">
        <f>IFERROR(INDEX(Расходка[Наименование расходного материала],MATCH(Расходка[[#This Row],[№]],Поиск_расходки[Индекс10],0)),"")</f>
        <v/>
      </c>
      <c r="AB54" s="114" t="str">
        <f>IFERROR(INDEX(Расходка[Наименование расходного материала],MATCH(Расходка[[#This Row],[№]],Поиск_расходки[Индекс11],0)),"")</f>
        <v/>
      </c>
      <c r="AC54" s="114" t="str">
        <f>IFERROR(INDEX(Расходка[Наименование расходного материала],MATCH(Расходка[[#This Row],[№]],Поиск_расходки[Индекс12],0)),"")</f>
        <v>Pilot 150, 190 cm</v>
      </c>
      <c r="AD54" s="114" t="str">
        <f>IFERROR(INDEX(Расходка[Наименование расходного материала],MATCH(Расходка[[#This Row],[№]],Поиск_расходки[Индекс13],0)),"")</f>
        <v>Pilot 150, 190 cm</v>
      </c>
      <c r="AF54" s="4" t="s">
        <v>6</v>
      </c>
      <c r="AG54" s="4" t="s">
        <v>446</v>
      </c>
    </row>
    <row r="55" spans="1:33">
      <c r="A55">
        <f>ROW(Расходка[[#This Row],[Тип расходного материала ]])-1</f>
        <v>54</v>
      </c>
      <c r="B55" t="s">
        <v>3</v>
      </c>
      <c r="C55" t="s">
        <v>520</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0</v>
      </c>
      <c r="G55" s="115">
        <f>IF(ISNUMBER(SEARCH('Карта учёта'!$B$15,Расходка[[#This Row],[Наименование расходного материала]])),MAX($G$1:G54)+1,0)</f>
        <v>0</v>
      </c>
      <c r="H55" s="115">
        <f>IF(ISNUMBER(SEARCH('Карта учёта'!$B$16,Расходка[[#This Row],[Наименование расходного материала]])),MAX($H$1:H54)+1,0)</f>
        <v>0</v>
      </c>
      <c r="I55" s="115">
        <f>IF(ISNUMBER(SEARCH('Карта учёта'!$B$17,Расходка[[#This Row],[Наименование расходного материала]])),MAX($I$1:I54)+1,0)</f>
        <v>0</v>
      </c>
      <c r="J55" s="115">
        <f>IF(ISNUMBER(SEARCH('Карта учёта'!$B$18,Расходка[[#This Row],[Наименование расходного материала]])),MAX($J$1:J54)+1,0)</f>
        <v>0</v>
      </c>
      <c r="K55" s="115">
        <f>IF(ISNUMBER(SEARCH('Карта учёта'!$B$19,Расходка[[#This Row],[Наименование расходного материала]])),MAX($K$1:K54)+1,0)</f>
        <v>0</v>
      </c>
      <c r="L55" s="115">
        <f>IF(ISNUMBER(SEARCH('Карта учёта'!$B$20,Расходка[[#This Row],[Наименование расходного материала]])),MAX($L$1:L54)+1,0)</f>
        <v>0</v>
      </c>
      <c r="M55" s="115">
        <f>IF(ISNUMBER(SEARCH('Карта учёта'!$B$21,Расходка[[#This Row],[Наименование расходного материала]])),MAX($M$1:M54)+1,0)</f>
        <v>0</v>
      </c>
      <c r="N55" s="115">
        <f>IF(ISNUMBER(SEARCH('Карта учёта'!$B$22,Расходка[[#This Row],[Наименование расходного материала]])),MAX($N$1:N54)+1,0)</f>
        <v>0</v>
      </c>
      <c r="O55" s="115">
        <f>IF(ISNUMBER(SEARCH('Карта учёта'!$B$23,Расходка[[#This Row],[Наименование расходного материала]])),MAX($O$1:O54)+1,0)</f>
        <v>0</v>
      </c>
      <c r="P55" s="115">
        <f>IF(ISNUMBER(SEARCH('Карта учёта'!$B$24,Расходка[[#This Row],[Наименование расходного материала]])),MAX($P$1:P54)+1,0)</f>
        <v>54</v>
      </c>
      <c r="Q55" s="115">
        <f>IF(ISNUMBER(SEARCH('Карта учёта'!$B$25,Расходка[[#This Row],[Наименование расходного материала]])),MAX($Q$1:Q54)+1,0)</f>
        <v>54</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
      </c>
      <c r="U55" s="114" t="str">
        <f>IFERROR(INDEX(Расходка[Наименование расходного материала],MATCH(Расходка[[#This Row],[№]],Поиск_расходки[Индекс4],0)),"")</f>
        <v/>
      </c>
      <c r="V55" s="114" t="str">
        <f>IFERROR(INDEX(Расходка[Наименование расходного материала],MATCH(Расходка[[#This Row],[№]],Поиск_расходки[Индекс5],0)),"")</f>
        <v/>
      </c>
      <c r="W55" s="114" t="str">
        <f>IFERROR(INDEX(Расходка[Наименование расходного материала],MATCH(Расходка[[#This Row],[№]],Поиск_расходки[Индекс6],0)),"")</f>
        <v/>
      </c>
      <c r="X55" s="114" t="str">
        <f>IFERROR(INDEX(Расходка[Наименование расходного материала],MATCH(Расходка[[#This Row],[№]],Поиск_расходки[Индекс7],0)),"")</f>
        <v/>
      </c>
      <c r="Y55" s="114" t="str">
        <f>IFERROR(INDEX(Расходка[Наименование расходного материала],MATCH(Расходка[[#This Row],[№]],Поиск_расходки[Индекс8],0)),"")</f>
        <v/>
      </c>
      <c r="Z55" s="114" t="str">
        <f>IFERROR(INDEX(Расходка[Наименование расходного материала],MATCH(Расходка[[#This Row],[№]],Поиск_расходки[Индекс9],0)),"")</f>
        <v/>
      </c>
      <c r="AA55" s="114" t="str">
        <f>IFERROR(INDEX(Расходка[Наименование расходного материала],MATCH(Расходка[[#This Row],[№]],Поиск_расходки[Индекс10],0)),"")</f>
        <v/>
      </c>
      <c r="AB55" s="114" t="str">
        <f>IFERROR(INDEX(Расходка[Наименование расходного материала],MATCH(Расходка[[#This Row],[№]],Поиск_расходки[Индекс11],0)),"")</f>
        <v/>
      </c>
      <c r="AC55" s="114" t="str">
        <f>IFERROR(INDEX(Расходка[Наименование расходного материала],MATCH(Расходка[[#This Row],[№]],Поиск_расходки[Индекс12],0)),"")</f>
        <v>Pilot 150, 300 cm</v>
      </c>
      <c r="AD55" s="114" t="str">
        <f>IFERROR(INDEX(Расходка[Наименование расходного материала],MATCH(Расходка[[#This Row],[№]],Поиск_расходки[Индекс13],0)),"")</f>
        <v>Pilot 150, 300 cm</v>
      </c>
      <c r="AF55" s="4" t="s">
        <v>6</v>
      </c>
      <c r="AG55" s="4" t="s">
        <v>447</v>
      </c>
    </row>
    <row r="56" spans="1:33">
      <c r="A56">
        <f>ROW(Расходка[[#This Row],[Тип расходного материала ]])-1</f>
        <v>55</v>
      </c>
      <c r="B56" t="s">
        <v>6</v>
      </c>
      <c r="C56" s="1" t="s">
        <v>278</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0</v>
      </c>
      <c r="H56" s="115">
        <f>IF(ISNUMBER(SEARCH('Карта учёта'!$B$16,Расходка[[#This Row],[Наименование расходного материала]])),MAX($H$1:H55)+1,0)</f>
        <v>0</v>
      </c>
      <c r="I56" s="115">
        <f>IF(ISNUMBER(SEARCH('Карта учёта'!$B$17,Расходка[[#This Row],[Наименование расходного материала]])),MAX($I$1:I55)+1,0)</f>
        <v>0</v>
      </c>
      <c r="J56" s="115">
        <f>IF(ISNUMBER(SEARCH('Карта учёта'!$B$18,Расходка[[#This Row],[Наименование расходного материала]])),MAX($J$1:J55)+1,0)</f>
        <v>0</v>
      </c>
      <c r="K56" s="115">
        <f>IF(ISNUMBER(SEARCH('Карта учёта'!$B$19,Расходка[[#This Row],[Наименование расходного материала]])),MAX($K$1:K55)+1,0)</f>
        <v>0</v>
      </c>
      <c r="L56" s="115">
        <f>IF(ISNUMBER(SEARCH('Карта учёта'!$B$20,Расходка[[#This Row],[Наименование расходного материала]])),MAX($L$1:L55)+1,0)</f>
        <v>0</v>
      </c>
      <c r="M56" s="115">
        <f>IF(ISNUMBER(SEARCH('Карта учёта'!$B$21,Расходка[[#This Row],[Наименование расходного материала]])),MAX($M$1:M55)+1,0)</f>
        <v>0</v>
      </c>
      <c r="N56" s="115">
        <f>IF(ISNUMBER(SEARCH('Карта учёта'!$B$22,Расходка[[#This Row],[Наименование расходного материала]])),MAX($N$1:N55)+1,0)</f>
        <v>0</v>
      </c>
      <c r="O56" s="115">
        <f>IF(ISNUMBER(SEARCH('Карта учёта'!$B$23,Расходка[[#This Row],[Наименование расходного материала]])),MAX($O$1:O55)+1,0)</f>
        <v>0</v>
      </c>
      <c r="P56" s="115">
        <f>IF(ISNUMBER(SEARCH('Карта учёта'!$B$24,Расходка[[#This Row],[Наименование расходного материала]])),MAX($P$1:P55)+1,0)</f>
        <v>55</v>
      </c>
      <c r="Q56" s="115">
        <f>IF(ISNUMBER(SEARCH('Карта учёта'!$B$25,Расходка[[#This Row],[Наименование расходного материала]])),MAX($Q$1:Q55)+1,0)</f>
        <v>55</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
      </c>
      <c r="U56" s="114" t="str">
        <f>IFERROR(INDEX(Расходка[Наименование расходного материала],MATCH(Расходка[[#This Row],[№]],Поиск_расходки[Индекс4],0)),"")</f>
        <v/>
      </c>
      <c r="V56" s="114" t="str">
        <f>IFERROR(INDEX(Расходка[Наименование расходного материала],MATCH(Расходка[[#This Row],[№]],Поиск_расходки[Индекс5],0)),"")</f>
        <v/>
      </c>
      <c r="W56" s="114" t="str">
        <f>IFERROR(INDEX(Расходка[Наименование расходного материала],MATCH(Расходка[[#This Row],[№]],Поиск_расходки[Индекс6],0)),"")</f>
        <v/>
      </c>
      <c r="X56" s="114" t="str">
        <f>IFERROR(INDEX(Расходка[Наименование расходного материала],MATCH(Расходка[[#This Row],[№]],Поиск_расходки[Индекс7],0)),"")</f>
        <v/>
      </c>
      <c r="Y56" s="114" t="str">
        <f>IFERROR(INDEX(Расходка[Наименование расходного материала],MATCH(Расходка[[#This Row],[№]],Поиск_расходки[Индекс8],0)),"")</f>
        <v/>
      </c>
      <c r="Z56" s="114" t="str">
        <f>IFERROR(INDEX(Расходка[Наименование расходного материала],MATCH(Расходка[[#This Row],[№]],Поиск_расходки[Индекс9],0)),"")</f>
        <v/>
      </c>
      <c r="AA56" s="114" t="str">
        <f>IFERROR(INDEX(Расходка[Наименование расходного материала],MATCH(Расходка[[#This Row],[№]],Поиск_расходки[Индекс10],0)),"")</f>
        <v/>
      </c>
      <c r="AB56" s="114" t="str">
        <f>IFERROR(INDEX(Расходка[Наименование расходного материала],MATCH(Расходка[[#This Row],[№]],Поиск_расходки[Индекс11],0)),"")</f>
        <v/>
      </c>
      <c r="AC56" s="114" t="str">
        <f>IFERROR(INDEX(Расходка[Наименование расходного материала],MATCH(Расходка[[#This Row],[№]],Поиск_расходки[Индекс12],0)),"")</f>
        <v>BMS, Integtity</v>
      </c>
      <c r="AD56" s="114" t="str">
        <f>IFERROR(INDEX(Расходка[Наименование расходного материала],MATCH(Расходка[[#This Row],[№]],Поиск_расходки[Индекс13],0)),"")</f>
        <v>BMS, Integtity</v>
      </c>
      <c r="AF56" s="4" t="s">
        <v>6</v>
      </c>
      <c r="AG56" s="4" t="s">
        <v>448</v>
      </c>
    </row>
    <row r="57" spans="1:33">
      <c r="A57">
        <f>ROW(Расходка[[#This Row],[Тип расходного материала ]])-1</f>
        <v>56</v>
      </c>
      <c r="B57" t="s">
        <v>6</v>
      </c>
      <c r="C57" s="156" t="s">
        <v>344</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0</v>
      </c>
      <c r="H57" s="115">
        <f>IF(ISNUMBER(SEARCH('Карта учёта'!$B$16,Расходка[[#This Row],[Наименование расходного материала]])),MAX($H$1:H56)+1,0)</f>
        <v>0</v>
      </c>
      <c r="I57" s="115">
        <f>IF(ISNUMBER(SEARCH('Карта учёта'!$B$17,Расходка[[#This Row],[Наименование расходного материала]])),MAX($I$1:I56)+1,0)</f>
        <v>0</v>
      </c>
      <c r="J57" s="115">
        <f>IF(ISNUMBER(SEARCH('Карта учёта'!$B$18,Расходка[[#This Row],[Наименование расходного материала]])),MAX($J$1:J56)+1,0)</f>
        <v>0</v>
      </c>
      <c r="K57" s="115">
        <f>IF(ISNUMBER(SEARCH('Карта учёта'!$B$19,Расходка[[#This Row],[Наименование расходного материала]])),MAX($K$1:K56)+1,0)</f>
        <v>0</v>
      </c>
      <c r="L57" s="115">
        <f>IF(ISNUMBER(SEARCH('Карта учёта'!$B$20,Расходка[[#This Row],[Наименование расходного материала]])),MAX($L$1:L56)+1,0)</f>
        <v>0</v>
      </c>
      <c r="M57" s="115">
        <f>IF(ISNUMBER(SEARCH('Карта учёта'!$B$21,Расходка[[#This Row],[Наименование расходного материала]])),MAX($M$1:M56)+1,0)</f>
        <v>0</v>
      </c>
      <c r="N57" s="115">
        <f>IF(ISNUMBER(SEARCH('Карта учёта'!$B$22,Расходка[[#This Row],[Наименование расходного материала]])),MAX($N$1:N56)+1,0)</f>
        <v>0</v>
      </c>
      <c r="O57" s="115">
        <f>IF(ISNUMBER(SEARCH('Карта учёта'!$B$23,Расходка[[#This Row],[Наименование расходного материала]])),MAX($O$1:O56)+1,0)</f>
        <v>0</v>
      </c>
      <c r="P57" s="115">
        <f>IF(ISNUMBER(SEARCH('Карта учёта'!$B$24,Расходка[[#This Row],[Наименование расходного материала]])),MAX($P$1:P56)+1,0)</f>
        <v>56</v>
      </c>
      <c r="Q57" s="115">
        <f>IF(ISNUMBER(SEARCH('Карта учёта'!$B$25,Расходка[[#This Row],[Наименование расходного материала]])),MAX($Q$1:Q56)+1,0)</f>
        <v>56</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
      </c>
      <c r="U57" s="114" t="str">
        <f>IFERROR(INDEX(Расходка[Наименование расходного материала],MATCH(Расходка[[#This Row],[№]],Поиск_расходки[Индекс4],0)),"")</f>
        <v/>
      </c>
      <c r="V57" s="114" t="str">
        <f>IFERROR(INDEX(Расходка[Наименование расходного материала],MATCH(Расходка[[#This Row],[№]],Поиск_расходки[Индекс5],0)),"")</f>
        <v/>
      </c>
      <c r="W57" s="114" t="str">
        <f>IFERROR(INDEX(Расходка[Наименование расходного материала],MATCH(Расходка[[#This Row],[№]],Поиск_расходки[Индекс6],0)),"")</f>
        <v/>
      </c>
      <c r="X57" s="114" t="str">
        <f>IFERROR(INDEX(Расходка[Наименование расходного материала],MATCH(Расходка[[#This Row],[№]],Поиск_расходки[Индекс7],0)),"")</f>
        <v/>
      </c>
      <c r="Y57" s="114" t="str">
        <f>IFERROR(INDEX(Расходка[Наименование расходного материала],MATCH(Расходка[[#This Row],[№]],Поиск_расходки[Индекс8],0)),"")</f>
        <v/>
      </c>
      <c r="Z57" s="114" t="str">
        <f>IFERROR(INDEX(Расходка[Наименование расходного материала],MATCH(Расходка[[#This Row],[№]],Поиск_расходки[Индекс9],0)),"")</f>
        <v/>
      </c>
      <c r="AA57" s="114" t="str">
        <f>IFERROR(INDEX(Расходка[Наименование расходного материала],MATCH(Расходка[[#This Row],[№]],Поиск_расходки[Индекс10],0)),"")</f>
        <v/>
      </c>
      <c r="AB57" s="114" t="str">
        <f>IFERROR(INDEX(Расходка[Наименование расходного материала],MATCH(Расходка[[#This Row],[№]],Поиск_расходки[Индекс11],0)),"")</f>
        <v/>
      </c>
      <c r="AC57" s="114" t="str">
        <f>IFERROR(INDEX(Расходка[Наименование расходного материала],MATCH(Расходка[[#This Row],[№]],Поиск_расходки[Индекс12],0)),"")</f>
        <v>DES, Calipso</v>
      </c>
      <c r="AD57" s="114" t="str">
        <f>IFERROR(INDEX(Расходка[Наименование расходного материала],MATCH(Расходка[[#This Row],[№]],Поиск_расходки[Индекс13],0)),"")</f>
        <v>DES, Calipso</v>
      </c>
      <c r="AF57" s="4" t="s">
        <v>6</v>
      </c>
      <c r="AG57" s="4" t="s">
        <v>449</v>
      </c>
    </row>
    <row r="58" spans="1:33">
      <c r="A58">
        <f>ROW(Расходка[[#This Row],[Тип расходного материала ]])-1</f>
        <v>57</v>
      </c>
      <c r="B58" t="s">
        <v>6</v>
      </c>
      <c r="C58" s="214" t="s">
        <v>527</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0</v>
      </c>
      <c r="H58" s="115">
        <f>IF(ISNUMBER(SEARCH('Карта учёта'!$B$16,Расходка[[#This Row],[Наименование расходного материала]])),MAX($H$1:H57)+1,0)</f>
        <v>0</v>
      </c>
      <c r="I58" s="115">
        <f>IF(ISNUMBER(SEARCH('Карта учёта'!$B$17,Расходка[[#This Row],[Наименование расходного материала]])),MAX($I$1:I57)+1,0)</f>
        <v>0</v>
      </c>
      <c r="J58" s="115">
        <f>IF(ISNUMBER(SEARCH('Карта учёта'!$B$18,Расходка[[#This Row],[Наименование расходного материала]])),MAX($J$1:J57)+1,0)</f>
        <v>0</v>
      </c>
      <c r="K58" s="115">
        <f>IF(ISNUMBER(SEARCH('Карта учёта'!$B$19,Расходка[[#This Row],[Наименование расходного материала]])),MAX($K$1:K57)+1,0)</f>
        <v>0</v>
      </c>
      <c r="L58" s="115">
        <f>IF(ISNUMBER(SEARCH('Карта учёта'!$B$20,Расходка[[#This Row],[Наименование расходного материала]])),MAX($L$1:L57)+1,0)</f>
        <v>0</v>
      </c>
      <c r="M58" s="115">
        <f>IF(ISNUMBER(SEARCH('Карта учёта'!$B$21,Расходка[[#This Row],[Наименование расходного материала]])),MAX($M$1:M57)+1,0)</f>
        <v>0</v>
      </c>
      <c r="N58" s="115">
        <f>IF(ISNUMBER(SEARCH('Карта учёта'!$B$22,Расходка[[#This Row],[Наименование расходного материала]])),MAX($N$1:N57)+1,0)</f>
        <v>0</v>
      </c>
      <c r="O58" s="115">
        <f>IF(ISNUMBER(SEARCH('Карта учёта'!$B$23,Расходка[[#This Row],[Наименование расходного материала]])),MAX($O$1:O57)+1,0)</f>
        <v>0</v>
      </c>
      <c r="P58" s="115">
        <f>IF(ISNUMBER(SEARCH('Карта учёта'!$B$24,Расходка[[#This Row],[Наименование расходного материала]])),MAX($P$1:P57)+1,0)</f>
        <v>57</v>
      </c>
      <c r="Q58" s="115">
        <f>IF(ISNUMBER(SEARCH('Карта учёта'!$B$25,Расходка[[#This Row],[Наименование расходного материала]])),MAX($Q$1:Q57)+1,0)</f>
        <v>57</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
      </c>
      <c r="U58" s="114" t="str">
        <f>IFERROR(INDEX(Расходка[Наименование расходного материала],MATCH(Расходка[[#This Row],[№]],Поиск_расходки[Индекс4],0)),"")</f>
        <v/>
      </c>
      <c r="V58" s="114" t="str">
        <f>IFERROR(INDEX(Расходка[Наименование расходного материала],MATCH(Расходка[[#This Row],[№]],Поиск_расходки[Индекс5],0)),"")</f>
        <v/>
      </c>
      <c r="W58" s="114" t="str">
        <f>IFERROR(INDEX(Расходка[Наименование расходного материала],MATCH(Расходка[[#This Row],[№]],Поиск_расходки[Индекс6],0)),"")</f>
        <v/>
      </c>
      <c r="X58" s="114" t="str">
        <f>IFERROR(INDEX(Расходка[Наименование расходного материала],MATCH(Расходка[[#This Row],[№]],Поиск_расходки[Индекс7],0)),"")</f>
        <v/>
      </c>
      <c r="Y58" s="114" t="str">
        <f>IFERROR(INDEX(Расходка[Наименование расходного материала],MATCH(Расходка[[#This Row],[№]],Поиск_расходки[Индекс8],0)),"")</f>
        <v/>
      </c>
      <c r="Z58" s="114" t="str">
        <f>IFERROR(INDEX(Расходка[Наименование расходного материала],MATCH(Расходка[[#This Row],[№]],Поиск_расходки[Индекс9],0)),"")</f>
        <v/>
      </c>
      <c r="AA58" s="114" t="str">
        <f>IFERROR(INDEX(Расходка[Наименование расходного материала],MATCH(Расходка[[#This Row],[№]],Поиск_расходки[Индекс10],0)),"")</f>
        <v/>
      </c>
      <c r="AB58" s="114" t="str">
        <f>IFERROR(INDEX(Расходка[Наименование расходного материала],MATCH(Расходка[[#This Row],[№]],Поиск_расходки[Индекс11],0)),"")</f>
        <v/>
      </c>
      <c r="AC58" s="114" t="str">
        <f>IFERROR(INDEX(Расходка[Наименование расходного материала],MATCH(Расходка[[#This Row],[№]],Поиск_расходки[Индекс12],0)),"")</f>
        <v>DES, Metafor</v>
      </c>
      <c r="AD58" s="114" t="str">
        <f>IFERROR(INDEX(Расходка[Наименование расходного материала],MATCH(Расходка[[#This Row],[№]],Поиск_расходки[Индекс13],0)),"")</f>
        <v>DES, Metafor</v>
      </c>
      <c r="AF58" s="4" t="s">
        <v>6</v>
      </c>
      <c r="AG58" s="4" t="s">
        <v>450</v>
      </c>
    </row>
    <row r="59" spans="1:33">
      <c r="A59">
        <f>ROW(Расходка[[#This Row],[Тип расходного материала ]])-1</f>
        <v>58</v>
      </c>
      <c r="B59" t="s">
        <v>6</v>
      </c>
      <c r="C59" s="156" t="s">
        <v>343</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0</v>
      </c>
      <c r="H59" s="115">
        <f>IF(ISNUMBER(SEARCH('Карта учёта'!$B$16,Расходка[[#This Row],[Наименование расходного материала]])),MAX($H$1:H58)+1,0)</f>
        <v>0</v>
      </c>
      <c r="I59" s="115">
        <f>IF(ISNUMBER(SEARCH('Карта учёта'!$B$17,Расходка[[#This Row],[Наименование расходного материала]])),MAX($I$1:I58)+1,0)</f>
        <v>0</v>
      </c>
      <c r="J59" s="115">
        <f>IF(ISNUMBER(SEARCH('Карта учёта'!$B$18,Расходка[[#This Row],[Наименование расходного материала]])),MAX($J$1:J58)+1,0)</f>
        <v>0</v>
      </c>
      <c r="K59" s="115">
        <f>IF(ISNUMBER(SEARCH('Карта учёта'!$B$19,Расходка[[#This Row],[Наименование расходного материала]])),MAX($K$1:K58)+1,0)</f>
        <v>0</v>
      </c>
      <c r="L59" s="115">
        <f>IF(ISNUMBER(SEARCH('Карта учёта'!$B$20,Расходка[[#This Row],[Наименование расходного материала]])),MAX($L$1:L58)+1,0)</f>
        <v>0</v>
      </c>
      <c r="M59" s="115">
        <f>IF(ISNUMBER(SEARCH('Карта учёта'!$B$21,Расходка[[#This Row],[Наименование расходного материала]])),MAX($M$1:M58)+1,0)</f>
        <v>0</v>
      </c>
      <c r="N59" s="115">
        <f>IF(ISNUMBER(SEARCH('Карта учёта'!$B$22,Расходка[[#This Row],[Наименование расходного материала]])),MAX($N$1:N58)+1,0)</f>
        <v>0</v>
      </c>
      <c r="O59" s="115">
        <f>IF(ISNUMBER(SEARCH('Карта учёта'!$B$23,Расходка[[#This Row],[Наименование расходного материала]])),MAX($O$1:O58)+1,0)</f>
        <v>0</v>
      </c>
      <c r="P59" s="115">
        <f>IF(ISNUMBER(SEARCH('Карта учёта'!$B$24,Расходка[[#This Row],[Наименование расходного материала]])),MAX($P$1:P58)+1,0)</f>
        <v>58</v>
      </c>
      <c r="Q59" s="115">
        <f>IF(ISNUMBER(SEARCH('Карта учёта'!$B$25,Расходка[[#This Row],[Наименование расходного материала]])),MAX($Q$1:Q58)+1,0)</f>
        <v>58</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
      </c>
      <c r="U59" s="114" t="str">
        <f>IFERROR(INDEX(Расходка[Наименование расходного материала],MATCH(Расходка[[#This Row],[№]],Поиск_расходки[Индекс4],0)),"")</f>
        <v/>
      </c>
      <c r="V59" s="114" t="str">
        <f>IFERROR(INDEX(Расходка[Наименование расходного материала],MATCH(Расходка[[#This Row],[№]],Поиск_расходки[Индекс5],0)),"")</f>
        <v/>
      </c>
      <c r="W59" s="114" t="str">
        <f>IFERROR(INDEX(Расходка[Наименование расходного материала],MATCH(Расходка[[#This Row],[№]],Поиск_расходки[Индекс6],0)),"")</f>
        <v/>
      </c>
      <c r="X59" s="114" t="str">
        <f>IFERROR(INDEX(Расходка[Наименование расходного материала],MATCH(Расходка[[#This Row],[№]],Поиск_расходки[Индекс7],0)),"")</f>
        <v/>
      </c>
      <c r="Y59" s="114" t="str">
        <f>IFERROR(INDEX(Расходка[Наименование расходного материала],MATCH(Расходка[[#This Row],[№]],Поиск_расходки[Индекс8],0)),"")</f>
        <v/>
      </c>
      <c r="Z59" s="114" t="str">
        <f>IFERROR(INDEX(Расходка[Наименование расходного материала],MATCH(Расходка[[#This Row],[№]],Поиск_расходки[Индекс9],0)),"")</f>
        <v/>
      </c>
      <c r="AA59" s="114" t="str">
        <f>IFERROR(INDEX(Расходка[Наименование расходного материала],MATCH(Расходка[[#This Row],[№]],Поиск_расходки[Индекс10],0)),"")</f>
        <v/>
      </c>
      <c r="AB59" s="114" t="str">
        <f>IFERROR(INDEX(Расходка[Наименование расходного материала],MATCH(Расходка[[#This Row],[№]],Поиск_расходки[Индекс11],0)),"")</f>
        <v/>
      </c>
      <c r="AC59" s="114" t="str">
        <f>IFERROR(INDEX(Расходка[Наименование расходного материала],MATCH(Расходка[[#This Row],[№]],Поиск_расходки[Индекс12],0)),"")</f>
        <v>DES, NanoMed</v>
      </c>
      <c r="AD59" s="114" t="str">
        <f>IFERROR(INDEX(Расходка[Наименование расходного материала],MATCH(Расходка[[#This Row],[№]],Поиск_расходки[Индекс13],0)),"")</f>
        <v>DES, NanoMed</v>
      </c>
      <c r="AF59" s="4" t="s">
        <v>6</v>
      </c>
      <c r="AG59" s="4" t="s">
        <v>451</v>
      </c>
    </row>
    <row r="60" spans="1:33">
      <c r="A60">
        <f>ROW(Расходка[[#This Row],[Тип расходного материала ]])-1</f>
        <v>59</v>
      </c>
      <c r="B60" t="s">
        <v>6</v>
      </c>
      <c r="C60" s="129" t="s">
        <v>322</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0</v>
      </c>
      <c r="H60" s="115">
        <f>IF(ISNUMBER(SEARCH('Карта учёта'!$B$16,Расходка[[#This Row],[Наименование расходного материала]])),MAX($H$1:H59)+1,0)</f>
        <v>0</v>
      </c>
      <c r="I60" s="115">
        <f>IF(ISNUMBER(SEARCH('Карта учёта'!$B$17,Расходка[[#This Row],[Наименование расходного материала]])),MAX($I$1:I59)+1,0)</f>
        <v>0</v>
      </c>
      <c r="J60" s="115">
        <f>IF(ISNUMBER(SEARCH('Карта учёта'!$B$18,Расходка[[#This Row],[Наименование расходного материала]])),MAX($J$1:J59)+1,0)</f>
        <v>0</v>
      </c>
      <c r="K60" s="115">
        <f>IF(ISNUMBER(SEARCH('Карта учёта'!$B$19,Расходка[[#This Row],[Наименование расходного материала]])),MAX($K$1:K59)+1,0)</f>
        <v>0</v>
      </c>
      <c r="L60" s="115">
        <f>IF(ISNUMBER(SEARCH('Карта учёта'!$B$20,Расходка[[#This Row],[Наименование расходного материала]])),MAX($L$1:L59)+1,0)</f>
        <v>0</v>
      </c>
      <c r="M60" s="115">
        <f>IF(ISNUMBER(SEARCH('Карта учёта'!$B$21,Расходка[[#This Row],[Наименование расходного материала]])),MAX($M$1:M59)+1,0)</f>
        <v>0</v>
      </c>
      <c r="N60" s="115">
        <f>IF(ISNUMBER(SEARCH('Карта учёта'!$B$22,Расходка[[#This Row],[Наименование расходного материала]])),MAX($N$1:N59)+1,0)</f>
        <v>0</v>
      </c>
      <c r="O60" s="115">
        <f>IF(ISNUMBER(SEARCH('Карта учёта'!$B$23,Расходка[[#This Row],[Наименование расходного материала]])),MAX($O$1:O59)+1,0)</f>
        <v>1</v>
      </c>
      <c r="P60" s="115">
        <f>IF(ISNUMBER(SEARCH('Карта учёта'!$B$24,Расходка[[#This Row],[Наименование расходного материала]])),MAX($P$1:P59)+1,0)</f>
        <v>59</v>
      </c>
      <c r="Q60" s="115">
        <f>IF(ISNUMBER(SEARCH('Карта учёта'!$B$25,Расходка[[#This Row],[Наименование расходного материала]])),MAX($Q$1:Q59)+1,0)</f>
        <v>59</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
      </c>
      <c r="U60" s="114" t="str">
        <f>IFERROR(INDEX(Расходка[Наименование расходного материала],MATCH(Расходка[[#This Row],[№]],Поиск_расходки[Индекс4],0)),"")</f>
        <v/>
      </c>
      <c r="V60" s="114" t="str">
        <f>IFERROR(INDEX(Расходка[Наименование расходного материала],MATCH(Расходка[[#This Row],[№]],Поиск_расходки[Индекс5],0)),"")</f>
        <v/>
      </c>
      <c r="W60" s="114" t="str">
        <f>IFERROR(INDEX(Расходка[Наименование расходного материала],MATCH(Расходка[[#This Row],[№]],Поиск_расходки[Индекс6],0)),"")</f>
        <v/>
      </c>
      <c r="X60" s="114" t="str">
        <f>IFERROR(INDEX(Расходка[Наименование расходного материала],MATCH(Расходка[[#This Row],[№]],Поиск_расходки[Индекс7],0)),"")</f>
        <v/>
      </c>
      <c r="Y60" s="114" t="str">
        <f>IFERROR(INDEX(Расходка[Наименование расходного материала],MATCH(Расходка[[#This Row],[№]],Поиск_расходки[Индекс8],0)),"")</f>
        <v/>
      </c>
      <c r="Z60" s="114" t="str">
        <f>IFERROR(INDEX(Расходка[Наименование расходного материала],MATCH(Расходка[[#This Row],[№]],Поиск_расходки[Индекс9],0)),"")</f>
        <v/>
      </c>
      <c r="AA60" s="114" t="str">
        <f>IFERROR(INDEX(Расходка[Наименование расходного материала],MATCH(Расходка[[#This Row],[№]],Поиск_расходки[Индекс10],0)),"")</f>
        <v/>
      </c>
      <c r="AB60" s="114" t="str">
        <f>IFERROR(INDEX(Расходка[Наименование расходного материала],MATCH(Расходка[[#This Row],[№]],Поиск_расходки[Индекс11],0)),"")</f>
        <v/>
      </c>
      <c r="AC60" s="114" t="str">
        <f>IFERROR(INDEX(Расходка[Наименование расходного материала],MATCH(Расходка[[#This Row],[№]],Поиск_расходки[Индекс12],0)),"")</f>
        <v>DES, Resolute Integtity</v>
      </c>
      <c r="AD60" s="114" t="str">
        <f>IFERROR(INDEX(Расходка[Наименование расходного материала],MATCH(Расходка[[#This Row],[№]],Поиск_расходки[Индекс13],0)),"")</f>
        <v>DES, Resolute Integtity</v>
      </c>
      <c r="AF60" s="4" t="s">
        <v>6</v>
      </c>
      <c r="AG60" s="4" t="s">
        <v>452</v>
      </c>
    </row>
    <row r="61" spans="1:33">
      <c r="A61">
        <f>ROW(Расходка[[#This Row],[Тип расходного материала ]])-1</f>
        <v>60</v>
      </c>
      <c r="B61" t="s">
        <v>6</v>
      </c>
      <c r="C61" t="s">
        <v>356</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0</v>
      </c>
      <c r="H61" s="115">
        <f>IF(ISNUMBER(SEARCH('Карта учёта'!$B$16,Расходка[[#This Row],[Наименование расходного материала]])),MAX($H$1:H60)+1,0)</f>
        <v>0</v>
      </c>
      <c r="I61" s="115">
        <f>IF(ISNUMBER(SEARCH('Карта учёта'!$B$17,Расходка[[#This Row],[Наименование расходного материала]])),MAX($I$1:I60)+1,0)</f>
        <v>0</v>
      </c>
      <c r="J61" s="115">
        <f>IF(ISNUMBER(SEARCH('Карта учёта'!$B$18,Расходка[[#This Row],[Наименование расходного материала]])),MAX($J$1:J60)+1,0)</f>
        <v>0</v>
      </c>
      <c r="K61" s="115">
        <f>IF(ISNUMBER(SEARCH('Карта учёта'!$B$19,Расходка[[#This Row],[Наименование расходного материала]])),MAX($K$1:K60)+1,0)</f>
        <v>0</v>
      </c>
      <c r="L61" s="115">
        <f>IF(ISNUMBER(SEARCH('Карта учёта'!$B$20,Расходка[[#This Row],[Наименование расходного материала]])),MAX($L$1:L60)+1,0)</f>
        <v>0</v>
      </c>
      <c r="M61" s="115">
        <f>IF(ISNUMBER(SEARCH('Карта учёта'!$B$21,Расходка[[#This Row],[Наименование расходного материала]])),MAX($M$1:M60)+1,0)</f>
        <v>0</v>
      </c>
      <c r="N61" s="115">
        <f>IF(ISNUMBER(SEARCH('Карта учёта'!$B$22,Расходка[[#This Row],[Наименование расходного материала]])),MAX($N$1:N60)+1,0)</f>
        <v>0</v>
      </c>
      <c r="O61" s="115">
        <f>IF(ISNUMBER(SEARCH('Карта учёта'!$B$23,Расходка[[#This Row],[Наименование расходного материала]])),MAX($O$1:O60)+1,0)</f>
        <v>0</v>
      </c>
      <c r="P61" s="115">
        <f>IF(ISNUMBER(SEARCH('Карта учёта'!$B$24,Расходка[[#This Row],[Наименование расходного материала]])),MAX($P$1:P60)+1,0)</f>
        <v>60</v>
      </c>
      <c r="Q61" s="115">
        <f>IF(ISNUMBER(SEARCH('Карта учёта'!$B$25,Расходка[[#This Row],[Наименование расходного материала]])),MAX($Q$1:Q60)+1,0)</f>
        <v>60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
      </c>
      <c r="U61" s="114" t="str">
        <f>IFERROR(INDEX(Расходка[Наименование расходного материала],MATCH(Расходка[[#This Row],[№]],Поиск_расходки[Индекс4],0)),"")</f>
        <v/>
      </c>
      <c r="V61" s="114" t="str">
        <f>IFERROR(INDEX(Расходка[Наименование расходного материала],MATCH(Расходка[[#This Row],[№]],Поиск_расходки[Индекс5],0)),"")</f>
        <v/>
      </c>
      <c r="W61" s="114" t="str">
        <f>IFERROR(INDEX(Расходка[Наименование расходного материала],MATCH(Расходка[[#This Row],[№]],Поиск_расходки[Индекс6],0)),"")</f>
        <v/>
      </c>
      <c r="X61" s="114" t="str">
        <f>IFERROR(INDEX(Расходка[Наименование расходного материала],MATCH(Расходка[[#This Row],[№]],Поиск_расходки[Индекс7],0)),"")</f>
        <v/>
      </c>
      <c r="Y61" s="114" t="str">
        <f>IFERROR(INDEX(Расходка[Наименование расходного материала],MATCH(Расходка[[#This Row],[№]],Поиск_расходки[Индекс8],0)),"")</f>
        <v/>
      </c>
      <c r="Z61" s="114" t="str">
        <f>IFERROR(INDEX(Расходка[Наименование расходного материала],MATCH(Расходка[[#This Row],[№]],Поиск_расходки[Индекс9],0)),"")</f>
        <v/>
      </c>
      <c r="AA61" s="114" t="str">
        <f>IFERROR(INDEX(Расходка[Наименование расходного материала],MATCH(Расходка[[#This Row],[№]],Поиск_расходки[Индекс10],0)),"")</f>
        <v/>
      </c>
      <c r="AB61" s="114" t="str">
        <f>IFERROR(INDEX(Расходка[Наименование расходного материала],MATCH(Расходка[[#This Row],[№]],Поиск_расходки[Индекс11],0)),"")</f>
        <v/>
      </c>
      <c r="AC61" s="114" t="str">
        <f>IFERROR(INDEX(Расходка[Наименование расходного материала],MATCH(Расходка[[#This Row],[№]],Поиск_расходки[Индекс12],0)),"")</f>
        <v>DES, Yukon Chrome PC</v>
      </c>
      <c r="AD61" s="114" t="str">
        <f>IFERROR(INDEX(Расходка[Наименование расходного материала],MATCH(Расходка[[#This Row],[№]],Поиск_расходки[Индекс13],0)),"")</f>
        <v>DES, Yukon Chrome PC</v>
      </c>
      <c r="AF61" s="4" t="s">
        <v>6</v>
      </c>
      <c r="AG61" s="4" t="s">
        <v>413</v>
      </c>
    </row>
    <row r="62" spans="1:33">
      <c r="A62">
        <f>ROW(Расходка[[#This Row],[Тип расходного материала ]])-1</f>
        <v>61</v>
      </c>
      <c r="B62" t="s">
        <v>6</v>
      </c>
      <c r="C62" s="160" t="s">
        <v>384</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0</v>
      </c>
      <c r="H62" s="115">
        <f>IF(ISNUMBER(SEARCH('Карта учёта'!$B$16,Расходка[[#This Row],[Наименование расходного материала]])),MAX($H$1:H61)+1,0)</f>
        <v>0</v>
      </c>
      <c r="I62" s="115">
        <f>IF(ISNUMBER(SEARCH('Карта учёта'!$B$17,Расходка[[#This Row],[Наименование расходного материала]])),MAX($I$1:I61)+1,0)</f>
        <v>0</v>
      </c>
      <c r="J62" s="115">
        <f>IF(ISNUMBER(SEARCH('Карта учёта'!$B$18,Расходка[[#This Row],[Наименование расходного материала]])),MAX($J$1:J61)+1,0)</f>
        <v>0</v>
      </c>
      <c r="K62" s="115">
        <f>IF(ISNUMBER(SEARCH('Карта учёта'!$B$19,Расходка[[#This Row],[Наименование расходного материала]])),MAX($K$1:K61)+1,0)</f>
        <v>0</v>
      </c>
      <c r="L62" s="115">
        <f>IF(ISNUMBER(SEARCH('Карта учёта'!$B$20,Расходка[[#This Row],[Наименование расходного материала]])),MAX($L$1:L61)+1,0)</f>
        <v>0</v>
      </c>
      <c r="M62" s="115">
        <f>IF(ISNUMBER(SEARCH('Карта учёта'!$B$21,Расходка[[#This Row],[Наименование расходного материала]])),MAX($M$1:M61)+1,0)</f>
        <v>0</v>
      </c>
      <c r="N62" s="115">
        <f>IF(ISNUMBER(SEARCH('Карта учёта'!$B$22,Расходка[[#This Row],[Наименование расходного материала]])),MAX($N$1:N61)+1,0)</f>
        <v>0</v>
      </c>
      <c r="O62" s="115">
        <f>IF(ISNUMBER(SEARCH('Карта учёта'!$B$23,Расходка[[#This Row],[Наименование расходного материала]])),MAX($O$1:O61)+1,0)</f>
        <v>0</v>
      </c>
      <c r="P62" s="115">
        <f>IF(ISNUMBER(SEARCH('Карта учёта'!$B$24,Расходка[[#This Row],[Наименование расходного материала]])),MAX($P$1:P61)+1,0)</f>
        <v>61</v>
      </c>
      <c r="Q62" s="115">
        <f>IF(ISNUMBER(SEARCH('Карта учёта'!$B$25,Расходка[[#This Row],[Наименование расходного материала]])),MAX($Q$1:Q61)+1,0)</f>
        <v>61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
      </c>
      <c r="U62" s="114" t="str">
        <f>IFERROR(INDEX(Расходка[Наименование расходного материала],MATCH(Расходка[[#This Row],[№]],Поиск_расходки[Индекс4],0)),"")</f>
        <v/>
      </c>
      <c r="V62" s="114" t="str">
        <f>IFERROR(INDEX(Расходка[Наименование расходного материала],MATCH(Расходка[[#This Row],[№]],Поиск_расходки[Индекс5],0)),"")</f>
        <v/>
      </c>
      <c r="W62" s="114" t="str">
        <f>IFERROR(INDEX(Расходка[Наименование расходного материала],MATCH(Расходка[[#This Row],[№]],Поиск_расходки[Индекс6],0)),"")</f>
        <v/>
      </c>
      <c r="X62" s="114" t="str">
        <f>IFERROR(INDEX(Расходка[Наименование расходного материала],MATCH(Расходка[[#This Row],[№]],Поиск_расходки[Индекс7],0)),"")</f>
        <v/>
      </c>
      <c r="Y62" s="114" t="str">
        <f>IFERROR(INDEX(Расходка[Наименование расходного материала],MATCH(Расходка[[#This Row],[№]],Поиск_расходки[Индекс8],0)),"")</f>
        <v/>
      </c>
      <c r="Z62" s="114" t="str">
        <f>IFERROR(INDEX(Расходка[Наименование расходного материала],MATCH(Расходка[[#This Row],[№]],Поиск_расходки[Индекс9],0)),"")</f>
        <v/>
      </c>
      <c r="AA62" s="114" t="str">
        <f>IFERROR(INDEX(Расходка[Наименование расходного материала],MATCH(Расходка[[#This Row],[№]],Поиск_расходки[Индекс10],0)),"")</f>
        <v/>
      </c>
      <c r="AB62" s="114" t="str">
        <f>IFERROR(INDEX(Расходка[Наименование расходного материала],MATCH(Расходка[[#This Row],[№]],Поиск_расходки[Индекс11],0)),"")</f>
        <v/>
      </c>
      <c r="AC62" s="114" t="str">
        <f>IFERROR(INDEX(Расходка[Наименование расходного материала],MATCH(Расходка[[#This Row],[№]],Поиск_расходки[Индекс12],0)),"")</f>
        <v>DES, Firehawk</v>
      </c>
      <c r="AD62" s="114" t="str">
        <f>IFERROR(INDEX(Расходка[Наименование расходного материала],MATCH(Расходка[[#This Row],[№]],Поиск_расходки[Индекс13],0)),"")</f>
        <v>DES, Firehawk</v>
      </c>
      <c r="AF62" s="4" t="s">
        <v>6</v>
      </c>
      <c r="AG62" s="4" t="s">
        <v>453</v>
      </c>
    </row>
    <row r="63" spans="1:33">
      <c r="A63">
        <f>ROW(Расходка[[#This Row],[Тип расходного материала ]])-1</f>
        <v>62</v>
      </c>
      <c r="B63" t="s">
        <v>6</v>
      </c>
      <c r="C63" t="s">
        <v>383</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0</v>
      </c>
      <c r="H63" s="115">
        <f>IF(ISNUMBER(SEARCH('Карта учёта'!$B$16,Расходка[[#This Row],[Наименование расходного материала]])),MAX($H$1:H62)+1,0)</f>
        <v>0</v>
      </c>
      <c r="I63" s="115">
        <f>IF(ISNUMBER(SEARCH('Карта учёта'!$B$17,Расходка[[#This Row],[Наименование расходного материала]])),MAX($I$1:I62)+1,0)</f>
        <v>0</v>
      </c>
      <c r="J63" s="115">
        <f>IF(ISNUMBER(SEARCH('Карта учёта'!$B$18,Расходка[[#This Row],[Наименование расходного материала]])),MAX($J$1:J62)+1,0)</f>
        <v>0</v>
      </c>
      <c r="K63" s="115">
        <f>IF(ISNUMBER(SEARCH('Карта учёта'!$B$19,Расходка[[#This Row],[Наименование расходного материала]])),MAX($K$1:K62)+1,0)</f>
        <v>0</v>
      </c>
      <c r="L63" s="115">
        <f>IF(ISNUMBER(SEARCH('Карта учёта'!$B$20,Расходка[[#This Row],[Наименование расходного материала]])),MAX($L$1:L62)+1,0)</f>
        <v>0</v>
      </c>
      <c r="M63" s="115">
        <f>IF(ISNUMBER(SEARCH('Карта учёта'!$B$21,Расходка[[#This Row],[Наименование расходного материала]])),MAX($M$1:M62)+1,0)</f>
        <v>0</v>
      </c>
      <c r="N63" s="115">
        <f>IF(ISNUMBER(SEARCH('Карта учёта'!$B$22,Расходка[[#This Row],[Наименование расходного материала]])),MAX($N$1:N62)+1,0)</f>
        <v>0</v>
      </c>
      <c r="O63" s="115">
        <f>IF(ISNUMBER(SEARCH('Карта учёта'!$B$23,Расходка[[#This Row],[Наименование расходного материала]])),MAX($O$1:O62)+1,0)</f>
        <v>0</v>
      </c>
      <c r="P63" s="115">
        <f>IF(ISNUMBER(SEARCH('Карта учёта'!$B$24,Расходка[[#This Row],[Наименование расходного материала]])),MAX($P$1:P62)+1,0)</f>
        <v>62</v>
      </c>
      <c r="Q63" s="115">
        <f>IF(ISNUMBER(SEARCH('Карта учёта'!$B$25,Расходка[[#This Row],[Наименование расходного материала]])),MAX($Q$1:Q62)+1,0)</f>
        <v>62</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
      </c>
      <c r="U63" s="114" t="str">
        <f>IFERROR(INDEX(Расходка[Наименование расходного материала],MATCH(Расходка[[#This Row],[№]],Поиск_расходки[Индекс4],0)),"")</f>
        <v/>
      </c>
      <c r="V63" s="114" t="str">
        <f>IFERROR(INDEX(Расходка[Наименование расходного материала],MATCH(Расходка[[#This Row],[№]],Поиск_расходки[Индекс5],0)),"")</f>
        <v/>
      </c>
      <c r="W63" s="114" t="str">
        <f>IFERROR(INDEX(Расходка[Наименование расходного материала],MATCH(Расходка[[#This Row],[№]],Поиск_расходки[Индекс6],0)),"")</f>
        <v/>
      </c>
      <c r="X63" s="114" t="str">
        <f>IFERROR(INDEX(Расходка[Наименование расходного материала],MATCH(Расходка[[#This Row],[№]],Поиск_расходки[Индекс7],0)),"")</f>
        <v/>
      </c>
      <c r="Y63" s="114" t="str">
        <f>IFERROR(INDEX(Расходка[Наименование расходного материала],MATCH(Расходка[[#This Row],[№]],Поиск_расходки[Индекс8],0)),"")</f>
        <v/>
      </c>
      <c r="Z63" s="114" t="str">
        <f>IFERROR(INDEX(Расходка[Наименование расходного материала],MATCH(Расходка[[#This Row],[№]],Поиск_расходки[Индекс9],0)),"")</f>
        <v/>
      </c>
      <c r="AA63" s="114" t="str">
        <f>IFERROR(INDEX(Расходка[Наименование расходного материала],MATCH(Расходка[[#This Row],[№]],Поиск_расходки[Индекс10],0)),"")</f>
        <v/>
      </c>
      <c r="AB63" s="114" t="str">
        <f>IFERROR(INDEX(Расходка[Наименование расходного материала],MATCH(Расходка[[#This Row],[№]],Поиск_расходки[Индекс11],0)),"")</f>
        <v/>
      </c>
      <c r="AC63" s="114" t="str">
        <f>IFERROR(INDEX(Расходка[Наименование расходного материала],MATCH(Расходка[[#This Row],[№]],Поиск_расходки[Индекс12],0)),"")</f>
        <v>DES, Resolute Onyx</v>
      </c>
      <c r="AD63" s="114" t="str">
        <f>IFERROR(INDEX(Расходка[Наименование расходного материала],MATCH(Расходка[[#This Row],[№]],Поиск_расходки[Индекс13],0)),"")</f>
        <v>DES, Resolute Onyx</v>
      </c>
      <c r="AF63" s="4" t="s">
        <v>6</v>
      </c>
      <c r="AG63" s="4" t="s">
        <v>454</v>
      </c>
    </row>
    <row r="64" spans="1:33">
      <c r="A64">
        <f>ROW(Расходка[[#This Row],[Тип расходного материала ]])-1</f>
        <v>63</v>
      </c>
      <c r="B64" t="s">
        <v>6</v>
      </c>
      <c r="C64" t="s">
        <v>515</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0</v>
      </c>
      <c r="H64" s="115">
        <f>IF(ISNUMBER(SEARCH('Карта учёта'!$B$16,Расходка[[#This Row],[Наименование расходного материала]])),MAX($H$1:H63)+1,0)</f>
        <v>0</v>
      </c>
      <c r="I64" s="115">
        <f>IF(ISNUMBER(SEARCH('Карта учёта'!$B$17,Расходка[[#This Row],[Наименование расходного материала]])),MAX($I$1:I63)+1,0)</f>
        <v>0</v>
      </c>
      <c r="J64" s="115">
        <f>IF(ISNUMBER(SEARCH('Карта учёта'!$B$18,Расходка[[#This Row],[Наименование расходного материала]])),MAX($J$1:J63)+1,0)</f>
        <v>0</v>
      </c>
      <c r="K64" s="115">
        <f>IF(ISNUMBER(SEARCH('Карта учёта'!$B$19,Расходка[[#This Row],[Наименование расходного материала]])),MAX($K$1:K63)+1,0)</f>
        <v>0</v>
      </c>
      <c r="L64" s="115">
        <f>IF(ISNUMBER(SEARCH('Карта учёта'!$B$20,Расходка[[#This Row],[Наименование расходного материала]])),MAX($L$1:L63)+1,0)</f>
        <v>0</v>
      </c>
      <c r="M64" s="115">
        <f>IF(ISNUMBER(SEARCH('Карта учёта'!$B$21,Расходка[[#This Row],[Наименование расходного материала]])),MAX($M$1:M63)+1,0)</f>
        <v>0</v>
      </c>
      <c r="N64" s="115">
        <f>IF(ISNUMBER(SEARCH('Карта учёта'!$B$22,Расходка[[#This Row],[Наименование расходного материала]])),MAX($N$1:N63)+1,0)</f>
        <v>0</v>
      </c>
      <c r="O64" s="115">
        <f>IF(ISNUMBER(SEARCH('Карта учёта'!$B$23,Расходка[[#This Row],[Наименование расходного материала]])),MAX($O$1:O63)+1,0)</f>
        <v>0</v>
      </c>
      <c r="P64" s="115">
        <f>IF(ISNUMBER(SEARCH('Карта учёта'!$B$24,Расходка[[#This Row],[Наименование расходного материала]])),MAX($P$1:P63)+1,0)</f>
        <v>63</v>
      </c>
      <c r="Q64" s="115">
        <f>IF(ISNUMBER(SEARCH('Карта учёта'!$B$25,Расходка[[#This Row],[Наименование расходного материала]])),MAX($Q$1:Q63)+1,0)</f>
        <v>63</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
      </c>
      <c r="U64" s="114" t="str">
        <f>IFERROR(INDEX(Расходка[Наименование расходного материала],MATCH(Расходка[[#This Row],[№]],Поиск_расходки[Индекс4],0)),"")</f>
        <v/>
      </c>
      <c r="V64" s="114" t="str">
        <f>IFERROR(INDEX(Расходка[Наименование расходного материала],MATCH(Расходка[[#This Row],[№]],Поиск_расходки[Индекс5],0)),"")</f>
        <v/>
      </c>
      <c r="W64" s="114" t="str">
        <f>IFERROR(INDEX(Расходка[Наименование расходного материала],MATCH(Расходка[[#This Row],[№]],Поиск_расходки[Индекс6],0)),"")</f>
        <v/>
      </c>
      <c r="X64" s="114" t="str">
        <f>IFERROR(INDEX(Расходка[Наименование расходного материала],MATCH(Расходка[[#This Row],[№]],Поиск_расходки[Индекс7],0)),"")</f>
        <v/>
      </c>
      <c r="Y64" s="114" t="str">
        <f>IFERROR(INDEX(Расходка[Наименование расходного материала],MATCH(Расходка[[#This Row],[№]],Поиск_расходки[Индекс8],0)),"")</f>
        <v/>
      </c>
      <c r="Z64" s="114" t="str">
        <f>IFERROR(INDEX(Расходка[Наименование расходного материала],MATCH(Расходка[[#This Row],[№]],Поиск_расходки[Индекс9],0)),"")</f>
        <v/>
      </c>
      <c r="AA64" s="114" t="str">
        <f>IFERROR(INDEX(Расходка[Наименование расходного материала],MATCH(Расходка[[#This Row],[№]],Поиск_расходки[Индекс10],0)),"")</f>
        <v/>
      </c>
      <c r="AB64" s="114" t="str">
        <f>IFERROR(INDEX(Расходка[Наименование расходного материала],MATCH(Расходка[[#This Row],[№]],Поиск_расходки[Индекс11],0)),"")</f>
        <v/>
      </c>
      <c r="AC64" s="114" t="str">
        <f>IFERROR(INDEX(Расходка[Наименование расходного материала],MATCH(Расходка[[#This Row],[№]],Поиск_расходки[Индекс12],0)),"")</f>
        <v>DES, Калипсо</v>
      </c>
      <c r="AD64" s="114" t="str">
        <f>IFERROR(INDEX(Расходка[Наименование расходного материала],MATCH(Расходка[[#This Row],[№]],Поиск_расходки[Индекс13],0)),"")</f>
        <v>DES, Калипсо</v>
      </c>
      <c r="AF64" s="4" t="s">
        <v>6</v>
      </c>
      <c r="AG64" s="4" t="s">
        <v>455</v>
      </c>
    </row>
    <row r="65" spans="1:33">
      <c r="A65">
        <f>ROW(Расходка[[#This Row],[Тип расходного материала ]])-1</f>
        <v>64</v>
      </c>
      <c r="B65" t="s">
        <v>6</v>
      </c>
      <c r="C65" t="s">
        <v>516</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0</v>
      </c>
      <c r="H65" s="115">
        <f>IF(ISNUMBER(SEARCH('Карта учёта'!$B$16,Расходка[[#This Row],[Наименование расходного материала]])),MAX($H$1:H64)+1,0)</f>
        <v>0</v>
      </c>
      <c r="I65" s="115">
        <f>IF(ISNUMBER(SEARCH('Карта учёта'!$B$17,Расходка[[#This Row],[Наименование расходного материала]])),MAX($I$1:I64)+1,0)</f>
        <v>0</v>
      </c>
      <c r="J65" s="115">
        <f>IF(ISNUMBER(SEARCH('Карта учёта'!$B$18,Расходка[[#This Row],[Наименование расходного материала]])),MAX($J$1:J64)+1,0)</f>
        <v>0</v>
      </c>
      <c r="K65" s="115">
        <f>IF(ISNUMBER(SEARCH('Карта учёта'!$B$19,Расходка[[#This Row],[Наименование расходного материала]])),MAX($K$1:K64)+1,0)</f>
        <v>0</v>
      </c>
      <c r="L65" s="115">
        <f>IF(ISNUMBER(SEARCH('Карта учёта'!$B$20,Расходка[[#This Row],[Наименование расходного материала]])),MAX($L$1:L64)+1,0)</f>
        <v>1</v>
      </c>
      <c r="M65" s="115">
        <f>IF(ISNUMBER(SEARCH('Карта учёта'!$B$21,Расходка[[#This Row],[Наименование расходного материала]])),MAX($M$1:M64)+1,0)</f>
        <v>1</v>
      </c>
      <c r="N65" s="115">
        <f>IF(ISNUMBER(SEARCH('Карта учёта'!$B$22,Расходка[[#This Row],[Наименование расходного материала]])),MAX($N$1:N64)+1,0)</f>
        <v>1</v>
      </c>
      <c r="O65" s="115">
        <f>IF(ISNUMBER(SEARCH('Карта учёта'!$B$23,Расходка[[#This Row],[Наименование расходного материала]])),MAX($O$1:O64)+1,0)</f>
        <v>0</v>
      </c>
      <c r="P65" s="115">
        <f>IF(ISNUMBER(SEARCH('Карта учёта'!$B$24,Расходка[[#This Row],[Наименование расходного материала]])),MAX($P$1:P64)+1,0)</f>
        <v>64</v>
      </c>
      <c r="Q65" s="115">
        <f>IF(ISNUMBER(SEARCH('Карта учёта'!$B$25,Расходка[[#This Row],[Наименование расходного материала]])),MAX($Q$1:Q64)+1,0)</f>
        <v>64</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
      </c>
      <c r="U65" s="114" t="str">
        <f>IFERROR(INDEX(Расходка[Наименование расходного материала],MATCH(Расходка[[#This Row],[№]],Поиск_расходки[Индекс4],0)),"")</f>
        <v/>
      </c>
      <c r="V65" s="114" t="str">
        <f>IFERROR(INDEX(Расходка[Наименование расходного материала],MATCH(Расходка[[#This Row],[№]],Поиск_расходки[Индекс5],0)),"")</f>
        <v/>
      </c>
      <c r="W65" s="114" t="str">
        <f>IFERROR(INDEX(Расходка[Наименование расходного материала],MATCH(Расходка[[#This Row],[№]],Поиск_расходки[Индекс6],0)),"")</f>
        <v/>
      </c>
      <c r="X65" s="114" t="str">
        <f>IFERROR(INDEX(Расходка[Наименование расходного материала],MATCH(Расходка[[#This Row],[№]],Поиск_расходки[Индекс7],0)),"")</f>
        <v/>
      </c>
      <c r="Y65" s="114" t="str">
        <f>IFERROR(INDEX(Расходка[Наименование расходного материала],MATCH(Расходка[[#This Row],[№]],Поиск_расходки[Индекс8],0)),"")</f>
        <v/>
      </c>
      <c r="Z65" s="114" t="str">
        <f>IFERROR(INDEX(Расходка[Наименование расходного материала],MATCH(Расходка[[#This Row],[№]],Поиск_расходки[Индекс9],0)),"")</f>
        <v/>
      </c>
      <c r="AA65" s="114" t="str">
        <f>IFERROR(INDEX(Расходка[Наименование расходного материала],MATCH(Расходка[[#This Row],[№]],Поиск_расходки[Индекс10],0)),"")</f>
        <v/>
      </c>
      <c r="AB65" s="114" t="str">
        <f>IFERROR(INDEX(Расходка[Наименование расходного материала],MATCH(Расходка[[#This Row],[№]],Поиск_расходки[Индекс11],0)),"")</f>
        <v/>
      </c>
      <c r="AC65" s="114" t="str">
        <f>IFERROR(INDEX(Расходка[Наименование расходного материала],MATCH(Расходка[[#This Row],[№]],Поиск_расходки[Индекс12],0)),"")</f>
        <v>Meril Evermine50™</v>
      </c>
      <c r="AD65" s="114" t="str">
        <f>IFERROR(INDEX(Расходка[Наименование расходного материала],MATCH(Расходка[[#This Row],[№]],Поиск_расходки[Индекс13],0)),"")</f>
        <v>Meril Evermine50™</v>
      </c>
      <c r="AF65" s="4" t="s">
        <v>6</v>
      </c>
      <c r="AG65" s="4" t="s">
        <v>456</v>
      </c>
    </row>
    <row r="66" spans="1:33">
      <c r="A66">
        <f>ROW(Расходка[[#This Row],[Тип расходного материала ]])-1</f>
        <v>65</v>
      </c>
      <c r="B66" t="s">
        <v>95</v>
      </c>
      <c r="C66" s="1" t="s">
        <v>323</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0</v>
      </c>
      <c r="H66" s="115">
        <f>IF(ISNUMBER(SEARCH('Карта учёта'!$B$16,Расходка[[#This Row],[Наименование расходного материала]])),MAX($H$1:H65)+1,0)</f>
        <v>0</v>
      </c>
      <c r="I66" s="115">
        <f>IF(ISNUMBER(SEARCH('Карта учёта'!$B$17,Расходка[[#This Row],[Наименование расходного материала]])),MAX($I$1:I65)+1,0)</f>
        <v>0</v>
      </c>
      <c r="J66" s="115">
        <f>IF(ISNUMBER(SEARCH('Карта учёта'!$B$18,Расходка[[#This Row],[Наименование расходного материала]])),MAX($J$1:J65)+1,0)</f>
        <v>0</v>
      </c>
      <c r="K66" s="115">
        <f>IF(ISNUMBER(SEARCH('Карта учёта'!$B$19,Расходка[[#This Row],[Наименование расходного материала]])),MAX($K$1:K65)+1,0)</f>
        <v>0</v>
      </c>
      <c r="L66" s="115">
        <f>IF(ISNUMBER(SEARCH('Карта учёта'!$B$20,Расходка[[#This Row],[Наименование расходного материала]])),MAX($L$1:L65)+1,0)</f>
        <v>0</v>
      </c>
      <c r="M66" s="115">
        <f>IF(ISNUMBER(SEARCH('Карта учёта'!$B$21,Расходка[[#This Row],[Наименование расходного материала]])),MAX($M$1:M65)+1,0)</f>
        <v>0</v>
      </c>
      <c r="N66" s="115">
        <f>IF(ISNUMBER(SEARCH('Карта учёта'!$B$22,Расходка[[#This Row],[Наименование расходного материала]])),MAX($N$1:N65)+1,0)</f>
        <v>0</v>
      </c>
      <c r="O66" s="115">
        <f>IF(ISNUMBER(SEARCH('Карта учёта'!$B$23,Расходка[[#This Row],[Наименование расходного материала]])),MAX($O$1:O65)+1,0)</f>
        <v>0</v>
      </c>
      <c r="P66" s="115">
        <f>IF(ISNUMBER(SEARCH('Карта учёта'!$B$24,Расходка[[#This Row],[Наименование расходного материала]])),MAX($P$1:P65)+1,0)</f>
        <v>65</v>
      </c>
      <c r="Q66" s="115">
        <f>IF(ISNUMBER(SEARCH('Карта учёта'!$B$25,Расходка[[#This Row],[Наименование расходного материала]])),MAX($Q$1:Q65)+1,0)</f>
        <v>65</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
      </c>
      <c r="U66" s="114" t="str">
        <f>IFERROR(INDEX(Расходка[Наименование расходного материала],MATCH(Расходка[[#This Row],[№]],Поиск_расходки[Индекс4],0)),"")</f>
        <v/>
      </c>
      <c r="V66" s="114" t="str">
        <f>IFERROR(INDEX(Расходка[Наименование расходного материала],MATCH(Расходка[[#This Row],[№]],Поиск_расходки[Индекс5],0)),"")</f>
        <v/>
      </c>
      <c r="W66" s="114" t="str">
        <f>IFERROR(INDEX(Расходка[Наименование расходного материала],MATCH(Расходка[[#This Row],[№]],Поиск_расходки[Индекс6],0)),"")</f>
        <v/>
      </c>
      <c r="X66" s="114" t="str">
        <f>IFERROR(INDEX(Расходка[Наименование расходного материала],MATCH(Расходка[[#This Row],[№]],Поиск_расходки[Индекс7],0)),"")</f>
        <v/>
      </c>
      <c r="Y66" s="114" t="str">
        <f>IFERROR(INDEX(Расходка[Наименование расходного материала],MATCH(Расходка[[#This Row],[№]],Поиск_расходки[Индекс8],0)),"")</f>
        <v/>
      </c>
      <c r="Z66" s="114" t="str">
        <f>IFERROR(INDEX(Расходка[Наименование расходного материала],MATCH(Расходка[[#This Row],[№]],Поиск_расходки[Индекс9],0)),"")</f>
        <v/>
      </c>
      <c r="AA66" s="114" t="str">
        <f>IFERROR(INDEX(Расходка[Наименование расходного материала],MATCH(Расходка[[#This Row],[№]],Поиск_расходки[Индекс10],0)),"")</f>
        <v/>
      </c>
      <c r="AB66" s="114" t="str">
        <f>IFERROR(INDEX(Расходка[Наименование расходного материала],MATCH(Расходка[[#This Row],[№]],Поиск_расходки[Индекс11],0)),"")</f>
        <v/>
      </c>
      <c r="AC66" s="114" t="str">
        <f>IFERROR(INDEX(Расходка[Наименование расходного материала],MATCH(Расходка[[#This Row],[№]],Поиск_расходки[Индекс12],0)),"")</f>
        <v>Guidezilla™ II 6F</v>
      </c>
      <c r="AD66" s="114" t="str">
        <f>IFERROR(INDEX(Расходка[Наименование расходного материала],MATCH(Расходка[[#This Row],[№]],Поиск_расходки[Индекс13],0)),"")</f>
        <v>Guidezilla™ II 6F</v>
      </c>
      <c r="AF66" s="4" t="s">
        <v>6</v>
      </c>
      <c r="AG66" s="4" t="s">
        <v>457</v>
      </c>
    </row>
    <row r="67" spans="1:33">
      <c r="A67">
        <f>ROW(Расходка[[#This Row],[Тип расходного материала ]])-1</f>
        <v>66</v>
      </c>
      <c r="B67" t="s">
        <v>95</v>
      </c>
      <c r="C67" s="1" t="s">
        <v>342</v>
      </c>
      <c r="E67" s="196">
        <f>IF(ISNUMBER(SEARCH('Карта учёта'!$B$13,Расходка[[#This Row],[Наименование расходного материала]])),MAX($E$1:E66)+1,0)</f>
        <v>0</v>
      </c>
      <c r="F67" s="196">
        <f>IF(ISNUMBER(SEARCH('Карта учёта'!$B$14,Расходка[[#This Row],[Наименование расходного материала]])),MAX($F$1:F66)+1,0)</f>
        <v>0</v>
      </c>
      <c r="G67" s="196">
        <f>IF(ISNUMBER(SEARCH('Карта учёта'!$B$15,Расходка[[#This Row],[Наименование расходного материала]])),MAX($G$1:G66)+1,0)</f>
        <v>0</v>
      </c>
      <c r="H67" s="196">
        <f>IF(ISNUMBER(SEARCH('Карта учёта'!$B$16,Расходка[[#This Row],[Наименование расходного материала]])),MAX($H$1:H66)+1,0)</f>
        <v>0</v>
      </c>
      <c r="I67" s="196">
        <f>IF(ISNUMBER(SEARCH('Карта учёта'!$B$17,Расходка[[#This Row],[Наименование расходного материала]])),MAX($I$1:I66)+1,0)</f>
        <v>0</v>
      </c>
      <c r="J67" s="196">
        <f>IF(ISNUMBER(SEARCH('Карта учёта'!$B$18,Расходка[[#This Row],[Наименование расходного материала]])),MAX($J$1:J66)+1,0)</f>
        <v>0</v>
      </c>
      <c r="K67" s="196">
        <f>IF(ISNUMBER(SEARCH('Карта учёта'!$B$19,Расходка[[#This Row],[Наименование расходного материала]])),MAX($K$1:K66)+1,0)</f>
        <v>0</v>
      </c>
      <c r="L67" s="196">
        <f>IF(ISNUMBER(SEARCH('Карта учёта'!$B$20,Расходка[[#This Row],[Наименование расходного материала]])),MAX($L$1:L66)+1,0)</f>
        <v>0</v>
      </c>
      <c r="M67" s="196">
        <f>IF(ISNUMBER(SEARCH('Карта учёта'!$B$21,Расходка[[#This Row],[Наименование расходного материала]])),MAX($M$1:M66)+1,0)</f>
        <v>0</v>
      </c>
      <c r="N67" s="196">
        <f>IF(ISNUMBER(SEARCH('Карта учёта'!$B$22,Расходка[[#This Row],[Наименование расходного материала]])),MAX($N$1:N66)+1,0)</f>
        <v>0</v>
      </c>
      <c r="O67" s="196">
        <f>IF(ISNUMBER(SEARCH('Карта учёта'!$B$23,Расходка[[#This Row],[Наименование расходного материала]])),MAX($O$1:O66)+1,0)</f>
        <v>0</v>
      </c>
      <c r="P67" s="196">
        <f>IF(ISNUMBER(SEARCH('Карта учёта'!$B$24,Расходка[[#This Row],[Наименование расходного материала]])),MAX($P$1:P66)+1,0)</f>
        <v>66</v>
      </c>
      <c r="Q67" s="196">
        <f>IF(ISNUMBER(SEARCH('Карта учёта'!$B$25,Расходка[[#This Row],[Наименование расходного материала]])),MAX($Q$1:Q66)+1,0)</f>
        <v>66</v>
      </c>
      <c r="R67" s="197" t="str">
        <f>IFERROR(INDEX(Расходка[Наименование расходного материала],MATCH(Расходка[[#This Row],[№]],Поиск_расходки[Индекс1],0)),"")</f>
        <v/>
      </c>
      <c r="S67" s="197" t="str">
        <f>IFERROR(INDEX(Расходка[Наименование расходного материала],MATCH(Расходка[[#This Row],[№]],Поиск_расходки[Индекс2],0)),"")</f>
        <v/>
      </c>
      <c r="T67" s="197" t="str">
        <f>IFERROR(INDEX(Расходка[Наименование расходного материала],MATCH(Расходка[[#This Row],[№]],Поиск_расходки[Индекс3],0)),"")</f>
        <v/>
      </c>
      <c r="U67" s="197" t="str">
        <f>IFERROR(INDEX(Расходка[Наименование расходного материала],MATCH(Расходка[[#This Row],[№]],Поиск_расходки[Индекс4],0)),"")</f>
        <v/>
      </c>
      <c r="V67" s="197" t="str">
        <f>IFERROR(INDEX(Расходка[Наименование расходного материала],MATCH(Расходка[[#This Row],[№]],Поиск_расходки[Индекс5],0)),"")</f>
        <v/>
      </c>
      <c r="W67" s="197" t="str">
        <f>IFERROR(INDEX(Расходка[Наименование расходного материала],MATCH(Расходка[[#This Row],[№]],Поиск_расходки[Индекс6],0)),"")</f>
        <v/>
      </c>
      <c r="X67" s="197" t="str">
        <f>IFERROR(INDEX(Расходка[Наименование расходного материала],MATCH(Расходка[[#This Row],[№]],Поиск_расходки[Индекс7],0)),"")</f>
        <v/>
      </c>
      <c r="Y67" s="197" t="str">
        <f>IFERROR(INDEX(Расходка[Наименование расходного материала],MATCH(Расходка[[#This Row],[№]],Поиск_расходки[Индекс8],0)),"")</f>
        <v/>
      </c>
      <c r="Z67" s="197" t="str">
        <f>IFERROR(INDEX(Расходка[Наименование расходного материала],MATCH(Расходка[[#This Row],[№]],Поиск_расходки[Индекс9],0)),"")</f>
        <v/>
      </c>
      <c r="AA67" s="197" t="str">
        <f>IFERROR(INDEX(Расходка[Наименование расходного материала],MATCH(Расходка[[#This Row],[№]],Поиск_расходки[Индекс10],0)),"")</f>
        <v/>
      </c>
      <c r="AB67" s="197" t="str">
        <f>IFERROR(INDEX(Расходка[Наименование расходного материала],MATCH(Расходка[[#This Row],[№]],Поиск_расходки[Индекс11],0)),"")</f>
        <v/>
      </c>
      <c r="AC67" s="197" t="str">
        <f>IFERROR(INDEX(Расходка[Наименование расходного материала],MATCH(Расходка[[#This Row],[№]],Поиск_расходки[Индекс12],0)),"")</f>
        <v>Telescope ™ II 6F</v>
      </c>
      <c r="AD67" s="197" t="str">
        <f>IFERROR(INDEX(Расходка[Наименование расходного материала],MATCH(Расходка[[#This Row],[№]],Поиск_расходки[Индекс13],0)),"")</f>
        <v>Telescope ™ II 6F</v>
      </c>
      <c r="AF67" s="4" t="s">
        <v>6</v>
      </c>
      <c r="AG67" s="4" t="s">
        <v>458</v>
      </c>
    </row>
    <row r="68" spans="1:33">
      <c r="A68">
        <f>ROW(Расходка[[#This Row],[Тип расходного материала ]])-1</f>
        <v>67</v>
      </c>
      <c r="B68" t="s">
        <v>4</v>
      </c>
      <c r="C68" t="s">
        <v>349</v>
      </c>
      <c r="E68" s="196">
        <f>IF(ISNUMBER(SEARCH('Карта учёта'!$B$13,Расходка[[#This Row],[Наименование расходного материала]])),MAX($E$1:E67)+1,0)</f>
        <v>0</v>
      </c>
      <c r="F68" s="196">
        <f>IF(ISNUMBER(SEARCH('Карта учёта'!$B$14,Расходка[[#This Row],[Наименование расходного материала]])),MAX($F$1:F67)+1,0)</f>
        <v>0</v>
      </c>
      <c r="G68" s="196">
        <f>IF(ISNUMBER(SEARCH('Карта учёта'!$B$15,Расходка[[#This Row],[Наименование расходного материала]])),MAX($G$1:G67)+1,0)</f>
        <v>0</v>
      </c>
      <c r="H68" s="196">
        <f>IF(ISNUMBER(SEARCH('Карта учёта'!$B$16,Расходка[[#This Row],[Наименование расходного материала]])),MAX($H$1:H67)+1,0)</f>
        <v>0</v>
      </c>
      <c r="I68" s="196">
        <f>IF(ISNUMBER(SEARCH('Карта учёта'!$B$17,Расходка[[#This Row],[Наименование расходного материала]])),MAX($I$1:I67)+1,0)</f>
        <v>0</v>
      </c>
      <c r="J68" s="196">
        <f>IF(ISNUMBER(SEARCH('Карта учёта'!$B$18,Расходка[[#This Row],[Наименование расходного материала]])),MAX($J$1:J67)+1,0)</f>
        <v>0</v>
      </c>
      <c r="K68" s="196">
        <f>IF(ISNUMBER(SEARCH('Карта учёта'!$B$19,Расходка[[#This Row],[Наименование расходного материала]])),MAX($K$1:K67)+1,0)</f>
        <v>0</v>
      </c>
      <c r="L68" s="196">
        <f>IF(ISNUMBER(SEARCH('Карта учёта'!$B$20,Расходка[[#This Row],[Наименование расходного материала]])),MAX($L$1:L67)+1,0)</f>
        <v>0</v>
      </c>
      <c r="M68" s="196">
        <f>IF(ISNUMBER(SEARCH('Карта учёта'!$B$21,Расходка[[#This Row],[Наименование расходного материала]])),MAX($M$1:M67)+1,0)</f>
        <v>0</v>
      </c>
      <c r="N68" s="196">
        <f>IF(ISNUMBER(SEARCH('Карта учёта'!$B$22,Расходка[[#This Row],[Наименование расходного материала]])),MAX($N$1:N67)+1,0)</f>
        <v>0</v>
      </c>
      <c r="O68" s="196">
        <f>IF(ISNUMBER(SEARCH('Карта учёта'!$B$23,Расходка[[#This Row],[Наименование расходного материала]])),MAX($O$1:O67)+1,0)</f>
        <v>0</v>
      </c>
      <c r="P68" s="196">
        <f>IF(ISNUMBER(SEARCH('Карта учёта'!$B$24,Расходка[[#This Row],[Наименование расходного материала]])),MAX($P$1:P67)+1,0)</f>
        <v>67</v>
      </c>
      <c r="Q68" s="196">
        <f>IF(ISNUMBER(SEARCH('Карта учёта'!$B$25,Расходка[[#This Row],[Наименование расходного материала]])),MAX($Q$1:Q67)+1,0)</f>
        <v>67</v>
      </c>
      <c r="R68" s="197" t="str">
        <f>IFERROR(INDEX(Расходка[Наименование расходного материала],MATCH(Расходка[[#This Row],[№]],Поиск_расходки[Индекс1],0)),"")</f>
        <v/>
      </c>
      <c r="S68" s="197" t="str">
        <f>IFERROR(INDEX(Расходка[Наименование расходного материала],MATCH(Расходка[[#This Row],[№]],Поиск_расходки[Индекс2],0)),"")</f>
        <v/>
      </c>
      <c r="T68" s="197" t="str">
        <f>IFERROR(INDEX(Расходка[Наименование расходного материала],MATCH(Расходка[[#This Row],[№]],Поиск_расходки[Индекс3],0)),"")</f>
        <v/>
      </c>
      <c r="U68" s="197" t="str">
        <f>IFERROR(INDEX(Расходка[Наименование расходного материала],MATCH(Расходка[[#This Row],[№]],Поиск_расходки[Индекс4],0)),"")</f>
        <v/>
      </c>
      <c r="V68" s="197" t="str">
        <f>IFERROR(INDEX(Расходка[Наименование расходного материала],MATCH(Расходка[[#This Row],[№]],Поиск_расходки[Индекс5],0)),"")</f>
        <v/>
      </c>
      <c r="W68" s="197" t="str">
        <f>IFERROR(INDEX(Расходка[Наименование расходного материала],MATCH(Расходка[[#This Row],[№]],Поиск_расходки[Индекс6],0)),"")</f>
        <v/>
      </c>
      <c r="X68" s="197" t="str">
        <f>IFERROR(INDEX(Расходка[Наименование расходного материала],MATCH(Расходка[[#This Row],[№]],Поиск_расходки[Индекс7],0)),"")</f>
        <v/>
      </c>
      <c r="Y68" s="197" t="str">
        <f>IFERROR(INDEX(Расходка[Наименование расходного материала],MATCH(Расходка[[#This Row],[№]],Поиск_расходки[Индекс8],0)),"")</f>
        <v/>
      </c>
      <c r="Z68" s="197" t="str">
        <f>IFERROR(INDEX(Расходка[Наименование расходного материала],MATCH(Расходка[[#This Row],[№]],Поиск_расходки[Индекс9],0)),"")</f>
        <v/>
      </c>
      <c r="AA68" s="197" t="str">
        <f>IFERROR(INDEX(Расходка[Наименование расходного материала],MATCH(Расходка[[#This Row],[№]],Поиск_расходки[Индекс10],0)),"")</f>
        <v/>
      </c>
      <c r="AB68" s="197" t="str">
        <f>IFERROR(INDEX(Расходка[Наименование расходного материала],MATCH(Расходка[[#This Row],[№]],Поиск_расходки[Индекс11],0)),"")</f>
        <v/>
      </c>
      <c r="AC68" s="197" t="str">
        <f>IFERROR(INDEX(Расходка[Наименование расходного материала],MATCH(Расходка[[#This Row],[№]],Поиск_расходки[Индекс12],0)),"")</f>
        <v>Launcher 6F AL 1</v>
      </c>
      <c r="AD68" s="197" t="str">
        <f>IFERROR(INDEX(Расходка[Наименование расходного материала],MATCH(Расходка[[#This Row],[№]],Поиск_расходки[Индекс13],0)),"")</f>
        <v>Launcher 6F AL 1</v>
      </c>
      <c r="AF68" s="4" t="s">
        <v>6</v>
      </c>
      <c r="AG68" s="4" t="s">
        <v>459</v>
      </c>
    </row>
    <row r="69" spans="1:33">
      <c r="A69">
        <f>ROW(Расходка[[#This Row],[Тип расходного материала ]])-1</f>
        <v>68</v>
      </c>
      <c r="B69" t="s">
        <v>4</v>
      </c>
      <c r="C69" t="s">
        <v>350</v>
      </c>
      <c r="E69" s="196">
        <f>IF(ISNUMBER(SEARCH('Карта учёта'!$B$13,Расходка[[#This Row],[Наименование расходного материала]])),MAX($E$1:E68)+1,0)</f>
        <v>0</v>
      </c>
      <c r="F69" s="196">
        <f>IF(ISNUMBER(SEARCH('Карта учёта'!$B$14,Расходка[[#This Row],[Наименование расходного материала]])),MAX($F$1:F68)+1,0)</f>
        <v>0</v>
      </c>
      <c r="G69" s="196">
        <f>IF(ISNUMBER(SEARCH('Карта учёта'!$B$15,Расходка[[#This Row],[Наименование расходного материала]])),MAX($G$1:G68)+1,0)</f>
        <v>0</v>
      </c>
      <c r="H69" s="196">
        <f>IF(ISNUMBER(SEARCH('Карта учёта'!$B$16,Расходка[[#This Row],[Наименование расходного материала]])),MAX($H$1:H68)+1,0)</f>
        <v>0</v>
      </c>
      <c r="I69" s="196">
        <f>IF(ISNUMBER(SEARCH('Карта учёта'!$B$17,Расходка[[#This Row],[Наименование расходного материала]])),MAX($I$1:I68)+1,0)</f>
        <v>0</v>
      </c>
      <c r="J69" s="196">
        <f>IF(ISNUMBER(SEARCH('Карта учёта'!$B$18,Расходка[[#This Row],[Наименование расходного материала]])),MAX($J$1:J68)+1,0)</f>
        <v>0</v>
      </c>
      <c r="K69" s="196">
        <f>IF(ISNUMBER(SEARCH('Карта учёта'!$B$19,Расходка[[#This Row],[Наименование расходного материала]])),MAX($K$1:K68)+1,0)</f>
        <v>0</v>
      </c>
      <c r="L69" s="196">
        <f>IF(ISNUMBER(SEARCH('Карта учёта'!$B$20,Расходка[[#This Row],[Наименование расходного материала]])),MAX($L$1:L68)+1,0)</f>
        <v>0</v>
      </c>
      <c r="M69" s="196">
        <f>IF(ISNUMBER(SEARCH('Карта учёта'!$B$21,Расходка[[#This Row],[Наименование расходного материала]])),MAX($M$1:M68)+1,0)</f>
        <v>0</v>
      </c>
      <c r="N69" s="196">
        <f>IF(ISNUMBER(SEARCH('Карта учёта'!$B$22,Расходка[[#This Row],[Наименование расходного материала]])),MAX($N$1:N68)+1,0)</f>
        <v>0</v>
      </c>
      <c r="O69" s="196">
        <f>IF(ISNUMBER(SEARCH('Карта учёта'!$B$23,Расходка[[#This Row],[Наименование расходного материала]])),MAX($O$1:O68)+1,0)</f>
        <v>0</v>
      </c>
      <c r="P69" s="196">
        <f>IF(ISNUMBER(SEARCH('Карта учёта'!$B$24,Расходка[[#This Row],[Наименование расходного материала]])),MAX($P$1:P68)+1,0)</f>
        <v>68</v>
      </c>
      <c r="Q69" s="196">
        <f>IF(ISNUMBER(SEARCH('Карта учёта'!$B$25,Расходка[[#This Row],[Наименование расходного материала]])),MAX($Q$1:Q68)+1,0)</f>
        <v>68</v>
      </c>
      <c r="R69" s="197" t="str">
        <f>IFERROR(INDEX(Расходка[Наименование расходного материала],MATCH(Расходка[[#This Row],[№]],Поиск_расходки[Индекс1],0)),"")</f>
        <v/>
      </c>
      <c r="S69" s="197" t="str">
        <f>IFERROR(INDEX(Расходка[Наименование расходного материала],MATCH(Расходка[[#This Row],[№]],Поиск_расходки[Индекс2],0)),"")</f>
        <v/>
      </c>
      <c r="T69" s="197" t="str">
        <f>IFERROR(INDEX(Расходка[Наименование расходного материала],MATCH(Расходка[[#This Row],[№]],Поиск_расходки[Индекс3],0)),"")</f>
        <v/>
      </c>
      <c r="U69" s="197" t="str">
        <f>IFERROR(INDEX(Расходка[Наименование расходного материала],MATCH(Расходка[[#This Row],[№]],Поиск_расходки[Индекс4],0)),"")</f>
        <v/>
      </c>
      <c r="V69" s="197" t="str">
        <f>IFERROR(INDEX(Расходка[Наименование расходного материала],MATCH(Расходка[[#This Row],[№]],Поиск_расходки[Индекс5],0)),"")</f>
        <v/>
      </c>
      <c r="W69" s="197" t="str">
        <f>IFERROR(INDEX(Расходка[Наименование расходного материала],MATCH(Расходка[[#This Row],[№]],Поиск_расходки[Индекс6],0)),"")</f>
        <v/>
      </c>
      <c r="X69" s="197" t="str">
        <f>IFERROR(INDEX(Расходка[Наименование расходного материала],MATCH(Расходка[[#This Row],[№]],Поиск_расходки[Индекс7],0)),"")</f>
        <v/>
      </c>
      <c r="Y69" s="197" t="str">
        <f>IFERROR(INDEX(Расходка[Наименование расходного материала],MATCH(Расходка[[#This Row],[№]],Поиск_расходки[Индекс8],0)),"")</f>
        <v/>
      </c>
      <c r="Z69" s="197" t="str">
        <f>IFERROR(INDEX(Расходка[Наименование расходного материала],MATCH(Расходка[[#This Row],[№]],Поиск_расходки[Индекс9],0)),"")</f>
        <v/>
      </c>
      <c r="AA69" s="197" t="str">
        <f>IFERROR(INDEX(Расходка[Наименование расходного материала],MATCH(Расходка[[#This Row],[№]],Поиск_расходки[Индекс10],0)),"")</f>
        <v/>
      </c>
      <c r="AB69" s="197" t="str">
        <f>IFERROR(INDEX(Расходка[Наименование расходного материала],MATCH(Расходка[[#This Row],[№]],Поиск_расходки[Индекс11],0)),"")</f>
        <v/>
      </c>
      <c r="AC69" s="197" t="str">
        <f>IFERROR(INDEX(Расходка[Наименование расходного материала],MATCH(Расходка[[#This Row],[№]],Поиск_расходки[Индекс12],0)),"")</f>
        <v>Launcher 6F AL 2</v>
      </c>
      <c r="AD69" s="197" t="str">
        <f>IFERROR(INDEX(Расходка[Наименование расходного материала],MATCH(Расходка[[#This Row],[№]],Поиск_расходки[Индекс13],0)),"")</f>
        <v>Launcher 6F AL 2</v>
      </c>
      <c r="AF69" s="4" t="s">
        <v>6</v>
      </c>
      <c r="AG69" s="4" t="s">
        <v>460</v>
      </c>
    </row>
    <row r="70" spans="1:33">
      <c r="A70">
        <f>ROW(Расходка[[#This Row],[Тип расходного материала ]])-1</f>
        <v>69</v>
      </c>
      <c r="B70" t="s">
        <v>4</v>
      </c>
      <c r="C70" t="s">
        <v>324</v>
      </c>
      <c r="E70" s="196">
        <f>IF(ISNUMBER(SEARCH('Карта учёта'!$B$13,Расходка[[#This Row],[Наименование расходного материала]])),MAX($E$1:E69)+1,0)</f>
        <v>0</v>
      </c>
      <c r="F70" s="196">
        <f>IF(ISNUMBER(SEARCH('Карта учёта'!$B$14,Расходка[[#This Row],[Наименование расходного материала]])),MAX($F$1:F69)+1,0)</f>
        <v>0</v>
      </c>
      <c r="G70" s="196">
        <f>IF(ISNUMBER(SEARCH('Карта учёта'!$B$15,Расходка[[#This Row],[Наименование расходного материала]])),MAX($G$1:G69)+1,0)</f>
        <v>0</v>
      </c>
      <c r="H70" s="196">
        <f>IF(ISNUMBER(SEARCH('Карта учёта'!$B$16,Расходка[[#This Row],[Наименование расходного материала]])),MAX($H$1:H69)+1,0)</f>
        <v>0</v>
      </c>
      <c r="I70" s="196">
        <f>IF(ISNUMBER(SEARCH('Карта учёта'!$B$17,Расходка[[#This Row],[Наименование расходного материала]])),MAX($I$1:I69)+1,0)</f>
        <v>0</v>
      </c>
      <c r="J70" s="196">
        <f>IF(ISNUMBER(SEARCH('Карта учёта'!$B$18,Расходка[[#This Row],[Наименование расходного материала]])),MAX($J$1:J69)+1,0)</f>
        <v>0</v>
      </c>
      <c r="K70" s="196">
        <f>IF(ISNUMBER(SEARCH('Карта учёта'!$B$19,Расходка[[#This Row],[Наименование расходного материала]])),MAX($K$1:K69)+1,0)</f>
        <v>0</v>
      </c>
      <c r="L70" s="196">
        <f>IF(ISNUMBER(SEARCH('Карта учёта'!$B$20,Расходка[[#This Row],[Наименование расходного материала]])),MAX($L$1:L69)+1,0)</f>
        <v>0</v>
      </c>
      <c r="M70" s="196">
        <f>IF(ISNUMBER(SEARCH('Карта учёта'!$B$21,Расходка[[#This Row],[Наименование расходного материала]])),MAX($M$1:M69)+1,0)</f>
        <v>0</v>
      </c>
      <c r="N70" s="196">
        <f>IF(ISNUMBER(SEARCH('Карта учёта'!$B$22,Расходка[[#This Row],[Наименование расходного материала]])),MAX($N$1:N69)+1,0)</f>
        <v>0</v>
      </c>
      <c r="O70" s="196">
        <f>IF(ISNUMBER(SEARCH('Карта учёта'!$B$23,Расходка[[#This Row],[Наименование расходного материала]])),MAX($O$1:O69)+1,0)</f>
        <v>0</v>
      </c>
      <c r="P70" s="196">
        <f>IF(ISNUMBER(SEARCH('Карта учёта'!$B$24,Расходка[[#This Row],[Наименование расходного материала]])),MAX($P$1:P69)+1,0)</f>
        <v>69</v>
      </c>
      <c r="Q70" s="196">
        <f>IF(ISNUMBER(SEARCH('Карта учёта'!$B$25,Расходка[[#This Row],[Наименование расходного материала]])),MAX($Q$1:Q69)+1,0)</f>
        <v>69</v>
      </c>
      <c r="R70" s="197" t="str">
        <f>IFERROR(INDEX(Расходка[Наименование расходного материала],MATCH(Расходка[[#This Row],[№]],Поиск_расходки[Индекс1],0)),"")</f>
        <v/>
      </c>
      <c r="S70" s="197" t="str">
        <f>IFERROR(INDEX(Расходка[Наименование расходного материала],MATCH(Расходка[[#This Row],[№]],Поиск_расходки[Индекс2],0)),"")</f>
        <v/>
      </c>
      <c r="T70" s="197" t="str">
        <f>IFERROR(INDEX(Расходка[Наименование расходного материала],MATCH(Расходка[[#This Row],[№]],Поиск_расходки[Индекс3],0)),"")</f>
        <v/>
      </c>
      <c r="U70" s="197" t="str">
        <f>IFERROR(INDEX(Расходка[Наименование расходного материала],MATCH(Расходка[[#This Row],[№]],Поиск_расходки[Индекс4],0)),"")</f>
        <v/>
      </c>
      <c r="V70" s="197" t="str">
        <f>IFERROR(INDEX(Расходка[Наименование расходного материала],MATCH(Расходка[[#This Row],[№]],Поиск_расходки[Индекс5],0)),"")</f>
        <v/>
      </c>
      <c r="W70" s="197" t="str">
        <f>IFERROR(INDEX(Расходка[Наименование расходного материала],MATCH(Расходка[[#This Row],[№]],Поиск_расходки[Индекс6],0)),"")</f>
        <v/>
      </c>
      <c r="X70" s="197" t="str">
        <f>IFERROR(INDEX(Расходка[Наименование расходного материала],MATCH(Расходка[[#This Row],[№]],Поиск_расходки[Индекс7],0)),"")</f>
        <v/>
      </c>
      <c r="Y70" s="197" t="str">
        <f>IFERROR(INDEX(Расходка[Наименование расходного материала],MATCH(Расходка[[#This Row],[№]],Поиск_расходки[Индекс8],0)),"")</f>
        <v/>
      </c>
      <c r="Z70" s="197" t="str">
        <f>IFERROR(INDEX(Расходка[Наименование расходного материала],MATCH(Расходка[[#This Row],[№]],Поиск_расходки[Индекс9],0)),"")</f>
        <v/>
      </c>
      <c r="AA70" s="197" t="str">
        <f>IFERROR(INDEX(Расходка[Наименование расходного материала],MATCH(Расходка[[#This Row],[№]],Поиск_расходки[Индекс10],0)),"")</f>
        <v/>
      </c>
      <c r="AB70" s="197" t="str">
        <f>IFERROR(INDEX(Расходка[Наименование расходного материала],MATCH(Расходка[[#This Row],[№]],Поиск_расходки[Индекс11],0)),"")</f>
        <v/>
      </c>
      <c r="AC70" s="197" t="str">
        <f>IFERROR(INDEX(Расходка[Наименование расходного материала],MATCH(Расходка[[#This Row],[№]],Поиск_расходки[Индекс12],0)),"")</f>
        <v>Launcher 6F EBU 3.5</v>
      </c>
      <c r="AD70" s="197" t="str">
        <f>IFERROR(INDEX(Расходка[Наименование расходного материала],MATCH(Расходка[[#This Row],[№]],Поиск_расходки[Индекс13],0)),"")</f>
        <v>Launcher 6F EBU 3.5</v>
      </c>
      <c r="AF70" s="4" t="s">
        <v>6</v>
      </c>
      <c r="AG70" s="4" t="s">
        <v>461</v>
      </c>
    </row>
    <row r="71" spans="1:33">
      <c r="A71">
        <f>ROW(Расходка[[#This Row],[Тип расходного материала ]])-1</f>
        <v>70</v>
      </c>
      <c r="B71" t="s">
        <v>4</v>
      </c>
      <c r="C71" t="s">
        <v>325</v>
      </c>
      <c r="E71" s="196">
        <f>IF(ISNUMBER(SEARCH('Карта учёта'!$B$13,Расходка[[#This Row],[Наименование расходного материала]])),MAX($E$1:E70)+1,0)</f>
        <v>0</v>
      </c>
      <c r="F71" s="196">
        <f>IF(ISNUMBER(SEARCH('Карта учёта'!$B$14,Расходка[[#This Row],[Наименование расходного материала]])),MAX($F$1:F70)+1,0)</f>
        <v>0</v>
      </c>
      <c r="G71" s="196">
        <f>IF(ISNUMBER(SEARCH('Карта учёта'!$B$15,Расходка[[#This Row],[Наименование расходного материала]])),MAX($G$1:G70)+1,0)</f>
        <v>0</v>
      </c>
      <c r="H71" s="196">
        <f>IF(ISNUMBER(SEARCH('Карта учёта'!$B$16,Расходка[[#This Row],[Наименование расходного материала]])),MAX($H$1:H70)+1,0)</f>
        <v>0</v>
      </c>
      <c r="I71" s="196">
        <f>IF(ISNUMBER(SEARCH('Карта учёта'!$B$17,Расходка[[#This Row],[Наименование расходного материала]])),MAX($I$1:I70)+1,0)</f>
        <v>0</v>
      </c>
      <c r="J71" s="196">
        <f>IF(ISNUMBER(SEARCH('Карта учёта'!$B$18,Расходка[[#This Row],[Наименование расходного материала]])),MAX($J$1:J70)+1,0)</f>
        <v>0</v>
      </c>
      <c r="K71" s="196">
        <f>IF(ISNUMBER(SEARCH('Карта учёта'!$B$19,Расходка[[#This Row],[Наименование расходного материала]])),MAX($K$1:K70)+1,0)</f>
        <v>0</v>
      </c>
      <c r="L71" s="196">
        <f>IF(ISNUMBER(SEARCH('Карта учёта'!$B$20,Расходка[[#This Row],[Наименование расходного материала]])),MAX($L$1:L70)+1,0)</f>
        <v>0</v>
      </c>
      <c r="M71" s="196">
        <f>IF(ISNUMBER(SEARCH('Карта учёта'!$B$21,Расходка[[#This Row],[Наименование расходного материала]])),MAX($M$1:M70)+1,0)</f>
        <v>0</v>
      </c>
      <c r="N71" s="196">
        <f>IF(ISNUMBER(SEARCH('Карта учёта'!$B$22,Расходка[[#This Row],[Наименование расходного материала]])),MAX($N$1:N70)+1,0)</f>
        <v>0</v>
      </c>
      <c r="O71" s="196">
        <f>IF(ISNUMBER(SEARCH('Карта учёта'!$B$23,Расходка[[#This Row],[Наименование расходного материала]])),MAX($O$1:O70)+1,0)</f>
        <v>0</v>
      </c>
      <c r="P71" s="196">
        <f>IF(ISNUMBER(SEARCH('Карта учёта'!$B$24,Расходка[[#This Row],[Наименование расходного материала]])),MAX($P$1:P70)+1,0)</f>
        <v>70</v>
      </c>
      <c r="Q71" s="196">
        <f>IF(ISNUMBER(SEARCH('Карта учёта'!$B$25,Расходка[[#This Row],[Наименование расходного материала]])),MAX($Q$1:Q70)+1,0)</f>
        <v>70</v>
      </c>
      <c r="R71" s="197" t="str">
        <f>IFERROR(INDEX(Расходка[Наименование расходного материала],MATCH(Расходка[[#This Row],[№]],Поиск_расходки[Индекс1],0)),"")</f>
        <v/>
      </c>
      <c r="S71" s="197" t="str">
        <f>IFERROR(INDEX(Расходка[Наименование расходного материала],MATCH(Расходка[[#This Row],[№]],Поиск_расходки[Индекс2],0)),"")</f>
        <v/>
      </c>
      <c r="T71" s="197" t="str">
        <f>IFERROR(INDEX(Расходка[Наименование расходного материала],MATCH(Расходка[[#This Row],[№]],Поиск_расходки[Индекс3],0)),"")</f>
        <v/>
      </c>
      <c r="U71" s="197" t="str">
        <f>IFERROR(INDEX(Расходка[Наименование расходного материала],MATCH(Расходка[[#This Row],[№]],Поиск_расходки[Индекс4],0)),"")</f>
        <v/>
      </c>
      <c r="V71" s="197" t="str">
        <f>IFERROR(INDEX(Расходка[Наименование расходного материала],MATCH(Расходка[[#This Row],[№]],Поиск_расходки[Индекс5],0)),"")</f>
        <v/>
      </c>
      <c r="W71" s="197" t="str">
        <f>IFERROR(INDEX(Расходка[Наименование расходного материала],MATCH(Расходка[[#This Row],[№]],Поиск_расходки[Индекс6],0)),"")</f>
        <v/>
      </c>
      <c r="X71" s="197" t="str">
        <f>IFERROR(INDEX(Расходка[Наименование расходного материала],MATCH(Расходка[[#This Row],[№]],Поиск_расходки[Индекс7],0)),"")</f>
        <v/>
      </c>
      <c r="Y71" s="197" t="str">
        <f>IFERROR(INDEX(Расходка[Наименование расходного материала],MATCH(Расходка[[#This Row],[№]],Поиск_расходки[Индекс8],0)),"")</f>
        <v/>
      </c>
      <c r="Z71" s="197" t="str">
        <f>IFERROR(INDEX(Расходка[Наименование расходного материала],MATCH(Расходка[[#This Row],[№]],Поиск_расходки[Индекс9],0)),"")</f>
        <v/>
      </c>
      <c r="AA71" s="197" t="str">
        <f>IFERROR(INDEX(Расходка[Наименование расходного материала],MATCH(Расходка[[#This Row],[№]],Поиск_расходки[Индекс10],0)),"")</f>
        <v/>
      </c>
      <c r="AB71" s="197" t="str">
        <f>IFERROR(INDEX(Расходка[Наименование расходного материала],MATCH(Расходка[[#This Row],[№]],Поиск_расходки[Индекс11],0)),"")</f>
        <v/>
      </c>
      <c r="AC71" s="197" t="str">
        <f>IFERROR(INDEX(Расходка[Наименование расходного материала],MATCH(Расходка[[#This Row],[№]],Поиск_расходки[Индекс12],0)),"")</f>
        <v>Launcher 6F EBU 4.0</v>
      </c>
      <c r="AD71" s="197" t="str">
        <f>IFERROR(INDEX(Расходка[Наименование расходного материала],MATCH(Расходка[[#This Row],[№]],Поиск_расходки[Индекс13],0)),"")</f>
        <v>Launcher 6F EBU 4.0</v>
      </c>
      <c r="AF71" s="4" t="s">
        <v>6</v>
      </c>
      <c r="AG71" s="4" t="s">
        <v>416</v>
      </c>
    </row>
    <row r="72" spans="1:33">
      <c r="A72">
        <f>ROW(Расходка[[#This Row],[Тип расходного материала ]])-1</f>
        <v>71</v>
      </c>
      <c r="B72" t="s">
        <v>4</v>
      </c>
      <c r="C72" t="s">
        <v>326</v>
      </c>
      <c r="E72" s="196">
        <f>IF(ISNUMBER(SEARCH('Карта учёта'!$B$13,Расходка[[#This Row],[Наименование расходного материала]])),MAX($E$1:E71)+1,0)</f>
        <v>0</v>
      </c>
      <c r="F72" s="196">
        <f>IF(ISNUMBER(SEARCH('Карта учёта'!$B$14,Расходка[[#This Row],[Наименование расходного материала]])),MAX($F$1:F71)+1,0)</f>
        <v>0</v>
      </c>
      <c r="G72" s="196">
        <f>IF(ISNUMBER(SEARCH('Карта учёта'!$B$15,Расходка[[#This Row],[Наименование расходного материала]])),MAX($G$1:G71)+1,0)</f>
        <v>1</v>
      </c>
      <c r="H72" s="196">
        <f>IF(ISNUMBER(SEARCH('Карта учёта'!$B$16,Расходка[[#This Row],[Наименование расходного материала]])),MAX($H$1:H71)+1,0)</f>
        <v>0</v>
      </c>
      <c r="I72" s="196">
        <f>IF(ISNUMBER(SEARCH('Карта учёта'!$B$17,Расходка[[#This Row],[Наименование расходного материала]])),MAX($I$1:I71)+1,0)</f>
        <v>0</v>
      </c>
      <c r="J72" s="196">
        <f>IF(ISNUMBER(SEARCH('Карта учёта'!$B$18,Расходка[[#This Row],[Наименование расходного материала]])),MAX($J$1:J71)+1,0)</f>
        <v>0</v>
      </c>
      <c r="K72" s="196">
        <f>IF(ISNUMBER(SEARCH('Карта учёта'!$B$19,Расходка[[#This Row],[Наименование расходного материала]])),MAX($K$1:K71)+1,0)</f>
        <v>0</v>
      </c>
      <c r="L72" s="196">
        <f>IF(ISNUMBER(SEARCH('Карта учёта'!$B$20,Расходка[[#This Row],[Наименование расходного материала]])),MAX($L$1:L71)+1,0)</f>
        <v>0</v>
      </c>
      <c r="M72" s="196">
        <f>IF(ISNUMBER(SEARCH('Карта учёта'!$B$21,Расходка[[#This Row],[Наименование расходного материала]])),MAX($M$1:M71)+1,0)</f>
        <v>0</v>
      </c>
      <c r="N72" s="196">
        <f>IF(ISNUMBER(SEARCH('Карта учёта'!$B$22,Расходка[[#This Row],[Наименование расходного материала]])),MAX($N$1:N71)+1,0)</f>
        <v>0</v>
      </c>
      <c r="O72" s="196">
        <f>IF(ISNUMBER(SEARCH('Карта учёта'!$B$23,Расходка[[#This Row],[Наименование расходного материала]])),MAX($O$1:O71)+1,0)</f>
        <v>0</v>
      </c>
      <c r="P72" s="196">
        <f>IF(ISNUMBER(SEARCH('Карта учёта'!$B$24,Расходка[[#This Row],[Наименование расходного материала]])),MAX($P$1:P71)+1,0)</f>
        <v>71</v>
      </c>
      <c r="Q72" s="196">
        <f>IF(ISNUMBER(SEARCH('Карта учёта'!$B$25,Расходка[[#This Row],[Наименование расходного материала]])),MAX($Q$1:Q71)+1,0)</f>
        <v>71</v>
      </c>
      <c r="R72" s="197" t="str">
        <f>IFERROR(INDEX(Расходка[Наименование расходного материала],MATCH(Расходка[[#This Row],[№]],Поиск_расходки[Индекс1],0)),"")</f>
        <v/>
      </c>
      <c r="S72" s="197" t="str">
        <f>IFERROR(INDEX(Расходка[Наименование расходного материала],MATCH(Расходка[[#This Row],[№]],Поиск_расходки[Индекс2],0)),"")</f>
        <v/>
      </c>
      <c r="T72" s="197" t="str">
        <f>IFERROR(INDEX(Расходка[Наименование расходного материала],MATCH(Расходка[[#This Row],[№]],Поиск_расходки[Индекс3],0)),"")</f>
        <v/>
      </c>
      <c r="U72" s="197" t="str">
        <f>IFERROR(INDEX(Расходка[Наименование расходного материала],MATCH(Расходка[[#This Row],[№]],Поиск_расходки[Индекс4],0)),"")</f>
        <v/>
      </c>
      <c r="V72" s="197" t="str">
        <f>IFERROR(INDEX(Расходка[Наименование расходного материала],MATCH(Расходка[[#This Row],[№]],Поиск_расходки[Индекс5],0)),"")</f>
        <v/>
      </c>
      <c r="W72" s="197" t="str">
        <f>IFERROR(INDEX(Расходка[Наименование расходного материала],MATCH(Расходка[[#This Row],[№]],Поиск_расходки[Индекс6],0)),"")</f>
        <v/>
      </c>
      <c r="X72" s="197" t="str">
        <f>IFERROR(INDEX(Расходка[Наименование расходного материала],MATCH(Расходка[[#This Row],[№]],Поиск_расходки[Индекс7],0)),"")</f>
        <v/>
      </c>
      <c r="Y72" s="197" t="str">
        <f>IFERROR(INDEX(Расходка[Наименование расходного материала],MATCH(Расходка[[#This Row],[№]],Поиск_расходки[Индекс8],0)),"")</f>
        <v/>
      </c>
      <c r="Z72" s="197" t="str">
        <f>IFERROR(INDEX(Расходка[Наименование расходного материала],MATCH(Расходка[[#This Row],[№]],Поиск_расходки[Индекс9],0)),"")</f>
        <v/>
      </c>
      <c r="AA72" s="197" t="str">
        <f>IFERROR(INDEX(Расходка[Наименование расходного материала],MATCH(Расходка[[#This Row],[№]],Поиск_расходки[Индекс10],0)),"")</f>
        <v/>
      </c>
      <c r="AB72" s="197" t="str">
        <f>IFERROR(INDEX(Расходка[Наименование расходного материала],MATCH(Расходка[[#This Row],[№]],Поиск_расходки[Индекс11],0)),"")</f>
        <v/>
      </c>
      <c r="AC72" s="197" t="str">
        <f>IFERROR(INDEX(Расходка[Наименование расходного материала],MATCH(Расходка[[#This Row],[№]],Поиск_расходки[Индекс12],0)),"")</f>
        <v>Launcher 6F JL 3.5</v>
      </c>
      <c r="AD72" s="197" t="str">
        <f>IFERROR(INDEX(Расходка[Наименование расходного материала],MATCH(Расходка[[#This Row],[№]],Поиск_расходки[Индекс13],0)),"")</f>
        <v>Launcher 6F JL 3.5</v>
      </c>
      <c r="AF72" s="4" t="s">
        <v>6</v>
      </c>
      <c r="AG72" s="4" t="s">
        <v>462</v>
      </c>
    </row>
    <row r="73" spans="1:33">
      <c r="A73">
        <f>ROW(Расходка[[#This Row],[Тип расходного материала ]])-1</f>
        <v>72</v>
      </c>
      <c r="B73" t="s">
        <v>4</v>
      </c>
      <c r="C73" t="s">
        <v>327</v>
      </c>
      <c r="E73" s="196">
        <f>IF(ISNUMBER(SEARCH('Карта учёта'!$B$13,Расходка[[#This Row],[Наименование расходного материала]])),MAX($E$1:E72)+1,0)</f>
        <v>0</v>
      </c>
      <c r="F73" s="196">
        <f>IF(ISNUMBER(SEARCH('Карта учёта'!$B$14,Расходка[[#This Row],[Наименование расходного материала]])),MAX($F$1:F72)+1,0)</f>
        <v>0</v>
      </c>
      <c r="G73" s="196">
        <f>IF(ISNUMBER(SEARCH('Карта учёта'!$B$15,Расходка[[#This Row],[Наименование расходного материала]])),MAX($G$1:G72)+1,0)</f>
        <v>0</v>
      </c>
      <c r="H73" s="196">
        <f>IF(ISNUMBER(SEARCH('Карта учёта'!$B$16,Расходка[[#This Row],[Наименование расходного материала]])),MAX($H$1:H72)+1,0)</f>
        <v>0</v>
      </c>
      <c r="I73" s="196">
        <f>IF(ISNUMBER(SEARCH('Карта учёта'!$B$17,Расходка[[#This Row],[Наименование расходного материала]])),MAX($I$1:I72)+1,0)</f>
        <v>0</v>
      </c>
      <c r="J73" s="196">
        <f>IF(ISNUMBER(SEARCH('Карта учёта'!$B$18,Расходка[[#This Row],[Наименование расходного материала]])),MAX($J$1:J72)+1,0)</f>
        <v>0</v>
      </c>
      <c r="K73" s="196">
        <f>IF(ISNUMBER(SEARCH('Карта учёта'!$B$19,Расходка[[#This Row],[Наименование расходного материала]])),MAX($K$1:K72)+1,0)</f>
        <v>0</v>
      </c>
      <c r="L73" s="196">
        <f>IF(ISNUMBER(SEARCH('Карта учёта'!$B$20,Расходка[[#This Row],[Наименование расходного материала]])),MAX($L$1:L72)+1,0)</f>
        <v>0</v>
      </c>
      <c r="M73" s="196">
        <f>IF(ISNUMBER(SEARCH('Карта учёта'!$B$21,Расходка[[#This Row],[Наименование расходного материала]])),MAX($M$1:M72)+1,0)</f>
        <v>0</v>
      </c>
      <c r="N73" s="196">
        <f>IF(ISNUMBER(SEARCH('Карта учёта'!$B$22,Расходка[[#This Row],[Наименование расходного материала]])),MAX($N$1:N72)+1,0)</f>
        <v>0</v>
      </c>
      <c r="O73" s="196">
        <f>IF(ISNUMBER(SEARCH('Карта учёта'!$B$23,Расходка[[#This Row],[Наименование расходного материала]])),MAX($O$1:O72)+1,0)</f>
        <v>0</v>
      </c>
      <c r="P73" s="196">
        <f>IF(ISNUMBER(SEARCH('Карта учёта'!$B$24,Расходка[[#This Row],[Наименование расходного материала]])),MAX($P$1:P72)+1,0)</f>
        <v>72</v>
      </c>
      <c r="Q73" s="196">
        <f>IF(ISNUMBER(SEARCH('Карта учёта'!$B$25,Расходка[[#This Row],[Наименование расходного материала]])),MAX($Q$1:Q72)+1,0)</f>
        <v>72</v>
      </c>
      <c r="R73" s="197" t="str">
        <f>IFERROR(INDEX(Расходка[Наименование расходного материала],MATCH(Расходка[[#This Row],[№]],Поиск_расходки[Индекс1],0)),"")</f>
        <v/>
      </c>
      <c r="S73" s="197" t="str">
        <f>IFERROR(INDEX(Расходка[Наименование расходного материала],MATCH(Расходка[[#This Row],[№]],Поиск_расходки[Индекс2],0)),"")</f>
        <v/>
      </c>
      <c r="T73" s="197" t="str">
        <f>IFERROR(INDEX(Расходка[Наименование расходного материала],MATCH(Расходка[[#This Row],[№]],Поиск_расходки[Индекс3],0)),"")</f>
        <v/>
      </c>
      <c r="U73" s="197" t="str">
        <f>IFERROR(INDEX(Расходка[Наименование расходного материала],MATCH(Расходка[[#This Row],[№]],Поиск_расходки[Индекс4],0)),"")</f>
        <v/>
      </c>
      <c r="V73" s="197" t="str">
        <f>IFERROR(INDEX(Расходка[Наименование расходного материала],MATCH(Расходка[[#This Row],[№]],Поиск_расходки[Индекс5],0)),"")</f>
        <v/>
      </c>
      <c r="W73" s="197" t="str">
        <f>IFERROR(INDEX(Расходка[Наименование расходного материала],MATCH(Расходка[[#This Row],[№]],Поиск_расходки[Индекс6],0)),"")</f>
        <v/>
      </c>
      <c r="X73" s="197" t="str">
        <f>IFERROR(INDEX(Расходка[Наименование расходного материала],MATCH(Расходка[[#This Row],[№]],Поиск_расходки[Индекс7],0)),"")</f>
        <v/>
      </c>
      <c r="Y73" s="197" t="str">
        <f>IFERROR(INDEX(Расходка[Наименование расходного материала],MATCH(Расходка[[#This Row],[№]],Поиск_расходки[Индекс8],0)),"")</f>
        <v/>
      </c>
      <c r="Z73" s="197" t="str">
        <f>IFERROR(INDEX(Расходка[Наименование расходного материала],MATCH(Расходка[[#This Row],[№]],Поиск_расходки[Индекс9],0)),"")</f>
        <v/>
      </c>
      <c r="AA73" s="197" t="str">
        <f>IFERROR(INDEX(Расходка[Наименование расходного материала],MATCH(Расходка[[#This Row],[№]],Поиск_расходки[Индекс10],0)),"")</f>
        <v/>
      </c>
      <c r="AB73" s="197" t="str">
        <f>IFERROR(INDEX(Расходка[Наименование расходного материала],MATCH(Расходка[[#This Row],[№]],Поиск_расходки[Индекс11],0)),"")</f>
        <v/>
      </c>
      <c r="AC73" s="197" t="str">
        <f>IFERROR(INDEX(Расходка[Наименование расходного материала],MATCH(Расходка[[#This Row],[№]],Поиск_расходки[Индекс12],0)),"")</f>
        <v>Launcher 6F JL 4.0</v>
      </c>
      <c r="AD73" s="197" t="str">
        <f>IFERROR(INDEX(Расходка[Наименование расходного материала],MATCH(Расходка[[#This Row],[№]],Поиск_расходки[Индекс13],0)),"")</f>
        <v>Launcher 6F JL 4.0</v>
      </c>
      <c r="AF73" s="4" t="s">
        <v>6</v>
      </c>
      <c r="AG73" s="4" t="s">
        <v>417</v>
      </c>
    </row>
    <row r="74" spans="1:33">
      <c r="A74">
        <f>ROW(Расходка[[#This Row],[Тип расходного материала ]])-1</f>
        <v>73</v>
      </c>
      <c r="B74" t="s">
        <v>4</v>
      </c>
      <c r="C74" t="s">
        <v>333</v>
      </c>
      <c r="E74" s="196">
        <f>IF(ISNUMBER(SEARCH('Карта учёта'!$B$13,Расходка[[#This Row],[Наименование расходного материала]])),MAX($E$1:E73)+1,0)</f>
        <v>0</v>
      </c>
      <c r="F74" s="196">
        <f>IF(ISNUMBER(SEARCH('Карта учёта'!$B$14,Расходка[[#This Row],[Наименование расходного материала]])),MAX($F$1:F73)+1,0)</f>
        <v>0</v>
      </c>
      <c r="G74" s="196">
        <f>IF(ISNUMBER(SEARCH('Карта учёта'!$B$15,Расходка[[#This Row],[Наименование расходного материала]])),MAX($G$1:G73)+1,0)</f>
        <v>0</v>
      </c>
      <c r="H74" s="196">
        <f>IF(ISNUMBER(SEARCH('Карта учёта'!$B$16,Расходка[[#This Row],[Наименование расходного материала]])),MAX($H$1:H73)+1,0)</f>
        <v>0</v>
      </c>
      <c r="I74" s="196">
        <f>IF(ISNUMBER(SEARCH('Карта учёта'!$B$17,Расходка[[#This Row],[Наименование расходного материала]])),MAX($I$1:I73)+1,0)</f>
        <v>0</v>
      </c>
      <c r="J74" s="196">
        <f>IF(ISNUMBER(SEARCH('Карта учёта'!$B$18,Расходка[[#This Row],[Наименование расходного материала]])),MAX($J$1:J73)+1,0)</f>
        <v>0</v>
      </c>
      <c r="K74" s="196">
        <f>IF(ISNUMBER(SEARCH('Карта учёта'!$B$19,Расходка[[#This Row],[Наименование расходного материала]])),MAX($K$1:K73)+1,0)</f>
        <v>0</v>
      </c>
      <c r="L74" s="196">
        <f>IF(ISNUMBER(SEARCH('Карта учёта'!$B$20,Расходка[[#This Row],[Наименование расходного материала]])),MAX($L$1:L73)+1,0)</f>
        <v>0</v>
      </c>
      <c r="M74" s="196">
        <f>IF(ISNUMBER(SEARCH('Карта учёта'!$B$21,Расходка[[#This Row],[Наименование расходного материала]])),MAX($M$1:M73)+1,0)</f>
        <v>0</v>
      </c>
      <c r="N74" s="196">
        <f>IF(ISNUMBER(SEARCH('Карта учёта'!$B$22,Расходка[[#This Row],[Наименование расходного материала]])),MAX($N$1:N73)+1,0)</f>
        <v>0</v>
      </c>
      <c r="O74" s="196">
        <f>IF(ISNUMBER(SEARCH('Карта учёта'!$B$23,Расходка[[#This Row],[Наименование расходного материала]])),MAX($O$1:O73)+1,0)</f>
        <v>0</v>
      </c>
      <c r="P74" s="196">
        <f>IF(ISNUMBER(SEARCH('Карта учёта'!$B$24,Расходка[[#This Row],[Наименование расходного материала]])),MAX($P$1:P73)+1,0)</f>
        <v>73</v>
      </c>
      <c r="Q74" s="196">
        <f>IF(ISNUMBER(SEARCH('Карта учёта'!$B$25,Расходка[[#This Row],[Наименование расходного материала]])),MAX($Q$1:Q73)+1,0)</f>
        <v>73</v>
      </c>
      <c r="R74" s="197" t="str">
        <f>IFERROR(INDEX(Расходка[Наименование расходного материала],MATCH(Расходка[[#This Row],[№]],Поиск_расходки[Индекс1],0)),"")</f>
        <v/>
      </c>
      <c r="S74" s="197" t="str">
        <f>IFERROR(INDEX(Расходка[Наименование расходного материала],MATCH(Расходка[[#This Row],[№]],Поиск_расходки[Индекс2],0)),"")</f>
        <v/>
      </c>
      <c r="T74" s="197" t="str">
        <f>IFERROR(INDEX(Расходка[Наименование расходного материала],MATCH(Расходка[[#This Row],[№]],Поиск_расходки[Индекс3],0)),"")</f>
        <v/>
      </c>
      <c r="U74" s="197" t="str">
        <f>IFERROR(INDEX(Расходка[Наименование расходного материала],MATCH(Расходка[[#This Row],[№]],Поиск_расходки[Индекс4],0)),"")</f>
        <v/>
      </c>
      <c r="V74" s="197" t="str">
        <f>IFERROR(INDEX(Расходка[Наименование расходного материала],MATCH(Расходка[[#This Row],[№]],Поиск_расходки[Индекс5],0)),"")</f>
        <v/>
      </c>
      <c r="W74" s="197" t="str">
        <f>IFERROR(INDEX(Расходка[Наименование расходного материала],MATCH(Расходка[[#This Row],[№]],Поиск_расходки[Индекс6],0)),"")</f>
        <v/>
      </c>
      <c r="X74" s="197" t="str">
        <f>IFERROR(INDEX(Расходка[Наименование расходного материала],MATCH(Расходка[[#This Row],[№]],Поиск_расходки[Индекс7],0)),"")</f>
        <v/>
      </c>
      <c r="Y74" s="197" t="str">
        <f>IFERROR(INDEX(Расходка[Наименование расходного материала],MATCH(Расходка[[#This Row],[№]],Поиск_расходки[Индекс8],0)),"")</f>
        <v/>
      </c>
      <c r="Z74" s="197" t="str">
        <f>IFERROR(INDEX(Расходка[Наименование расходного материала],MATCH(Расходка[[#This Row],[№]],Поиск_расходки[Индекс9],0)),"")</f>
        <v/>
      </c>
      <c r="AA74" s="197" t="str">
        <f>IFERROR(INDEX(Расходка[Наименование расходного материала],MATCH(Расходка[[#This Row],[№]],Поиск_расходки[Индекс10],0)),"")</f>
        <v/>
      </c>
      <c r="AB74" s="197" t="str">
        <f>IFERROR(INDEX(Расходка[Наименование расходного материала],MATCH(Расходка[[#This Row],[№]],Поиск_расходки[Индекс11],0)),"")</f>
        <v/>
      </c>
      <c r="AC74" s="197" t="str">
        <f>IFERROR(INDEX(Расходка[Наименование расходного материала],MATCH(Расходка[[#This Row],[№]],Поиск_расходки[Индекс12],0)),"")</f>
        <v>Launcher 6F JL 4.5</v>
      </c>
      <c r="AD74" s="197" t="str">
        <f>IFERROR(INDEX(Расходка[Наименование расходного материала],MATCH(Расходка[[#This Row],[№]],Поиск_расходки[Индекс13],0)),"")</f>
        <v>Launcher 6F JL 4.5</v>
      </c>
      <c r="AF74" s="4" t="s">
        <v>6</v>
      </c>
      <c r="AG74" s="4" t="s">
        <v>463</v>
      </c>
    </row>
    <row r="75" spans="1:33">
      <c r="A75">
        <f>ROW(Расходка[[#This Row],[Тип расходного материала ]])-1</f>
        <v>74</v>
      </c>
      <c r="B75" t="s">
        <v>4</v>
      </c>
      <c r="C75" t="s">
        <v>328</v>
      </c>
      <c r="E75" s="196">
        <f>IF(ISNUMBER(SEARCH('Карта учёта'!$B$13,Расходка[[#This Row],[Наименование расходного материала]])),MAX($E$1:E74)+1,0)</f>
        <v>0</v>
      </c>
      <c r="F75" s="196">
        <f>IF(ISNUMBER(SEARCH('Карта учёта'!$B$14,Расходка[[#This Row],[Наименование расходного материала]])),MAX($F$1:F74)+1,0)</f>
        <v>1</v>
      </c>
      <c r="G75" s="196">
        <f>IF(ISNUMBER(SEARCH('Карта учёта'!$B$15,Расходка[[#This Row],[Наименование расходного материала]])),MAX($G$1:G74)+1,0)</f>
        <v>0</v>
      </c>
      <c r="H75" s="196">
        <f>IF(ISNUMBER(SEARCH('Карта учёта'!$B$16,Расходка[[#This Row],[Наименование расходного материала]])),MAX($H$1:H74)+1,0)</f>
        <v>0</v>
      </c>
      <c r="I75" s="196">
        <f>IF(ISNUMBER(SEARCH('Карта учёта'!$B$17,Расходка[[#This Row],[Наименование расходного материала]])),MAX($I$1:I74)+1,0)</f>
        <v>0</v>
      </c>
      <c r="J75" s="196">
        <f>IF(ISNUMBER(SEARCH('Карта учёта'!$B$18,Расходка[[#This Row],[Наименование расходного материала]])),MAX($J$1:J74)+1,0)</f>
        <v>0</v>
      </c>
      <c r="K75" s="196">
        <f>IF(ISNUMBER(SEARCH('Карта учёта'!$B$19,Расходка[[#This Row],[Наименование расходного материала]])),MAX($K$1:K74)+1,0)</f>
        <v>0</v>
      </c>
      <c r="L75" s="196">
        <f>IF(ISNUMBER(SEARCH('Карта учёта'!$B$20,Расходка[[#This Row],[Наименование расходного материала]])),MAX($L$1:L74)+1,0)</f>
        <v>0</v>
      </c>
      <c r="M75" s="196">
        <f>IF(ISNUMBER(SEARCH('Карта учёта'!$B$21,Расходка[[#This Row],[Наименование расходного материала]])),MAX($M$1:M74)+1,0)</f>
        <v>0</v>
      </c>
      <c r="N75" s="196">
        <f>IF(ISNUMBER(SEARCH('Карта учёта'!$B$22,Расходка[[#This Row],[Наименование расходного материала]])),MAX($N$1:N74)+1,0)</f>
        <v>0</v>
      </c>
      <c r="O75" s="196">
        <f>IF(ISNUMBER(SEARCH('Карта учёта'!$B$23,Расходка[[#This Row],[Наименование расходного материала]])),MAX($O$1:O74)+1,0)</f>
        <v>0</v>
      </c>
      <c r="P75" s="196">
        <f>IF(ISNUMBER(SEARCH('Карта учёта'!$B$24,Расходка[[#This Row],[Наименование расходного материала]])),MAX($P$1:P74)+1,0)</f>
        <v>74</v>
      </c>
      <c r="Q75" s="196">
        <f>IF(ISNUMBER(SEARCH('Карта учёта'!$B$25,Расходка[[#This Row],[Наименование расходного материала]])),MAX($Q$1:Q74)+1,0)</f>
        <v>74</v>
      </c>
      <c r="R75" s="197" t="str">
        <f>IFERROR(INDEX(Расходка[Наименование расходного материала],MATCH(Расходка[[#This Row],[№]],Поиск_расходки[Индекс1],0)),"")</f>
        <v/>
      </c>
      <c r="S75" s="197" t="str">
        <f>IFERROR(INDEX(Расходка[Наименование расходного материала],MATCH(Расходка[[#This Row],[№]],Поиск_расходки[Индекс2],0)),"")</f>
        <v/>
      </c>
      <c r="T75" s="197" t="str">
        <f>IFERROR(INDEX(Расходка[Наименование расходного материала],MATCH(Расходка[[#This Row],[№]],Поиск_расходки[Индекс3],0)),"")</f>
        <v/>
      </c>
      <c r="U75" s="197" t="str">
        <f>IFERROR(INDEX(Расходка[Наименование расходного материала],MATCH(Расходка[[#This Row],[№]],Поиск_расходки[Индекс4],0)),"")</f>
        <v/>
      </c>
      <c r="V75" s="197" t="str">
        <f>IFERROR(INDEX(Расходка[Наименование расходного материала],MATCH(Расходка[[#This Row],[№]],Поиск_расходки[Индекс5],0)),"")</f>
        <v/>
      </c>
      <c r="W75" s="197" t="str">
        <f>IFERROR(INDEX(Расходка[Наименование расходного материала],MATCH(Расходка[[#This Row],[№]],Поиск_расходки[Индекс6],0)),"")</f>
        <v/>
      </c>
      <c r="X75" s="197" t="str">
        <f>IFERROR(INDEX(Расходка[Наименование расходного материала],MATCH(Расходка[[#This Row],[№]],Поиск_расходки[Индекс7],0)),"")</f>
        <v/>
      </c>
      <c r="Y75" s="197" t="str">
        <f>IFERROR(INDEX(Расходка[Наименование расходного материала],MATCH(Расходка[[#This Row],[№]],Поиск_расходки[Индекс8],0)),"")</f>
        <v/>
      </c>
      <c r="Z75" s="197" t="str">
        <f>IFERROR(INDEX(Расходка[Наименование расходного материала],MATCH(Расходка[[#This Row],[№]],Поиск_расходки[Индекс9],0)),"")</f>
        <v/>
      </c>
      <c r="AA75" s="197" t="str">
        <f>IFERROR(INDEX(Расходка[Наименование расходного материала],MATCH(Расходка[[#This Row],[№]],Поиск_расходки[Индекс10],0)),"")</f>
        <v/>
      </c>
      <c r="AB75" s="197" t="str">
        <f>IFERROR(INDEX(Расходка[Наименование расходного материала],MATCH(Расходка[[#This Row],[№]],Поиск_расходки[Индекс11],0)),"")</f>
        <v/>
      </c>
      <c r="AC75" s="197" t="str">
        <f>IFERROR(INDEX(Расходка[Наименование расходного материала],MATCH(Расходка[[#This Row],[№]],Поиск_расходки[Индекс12],0)),"")</f>
        <v>Launcher 6F JR 3.5</v>
      </c>
      <c r="AD75" s="197" t="str">
        <f>IFERROR(INDEX(Расходка[Наименование расходного материала],MATCH(Расходка[[#This Row],[№]],Поиск_расходки[Индекс13],0)),"")</f>
        <v>Launcher 6F JR 3.5</v>
      </c>
      <c r="AF75" s="4" t="s">
        <v>6</v>
      </c>
      <c r="AG75" s="4" t="s">
        <v>464</v>
      </c>
    </row>
    <row r="76" spans="1:33">
      <c r="A76">
        <f>ROW(Расходка[[#This Row],[Тип расходного материала ]])-1</f>
        <v>75</v>
      </c>
      <c r="B76" t="s">
        <v>4</v>
      </c>
      <c r="C76" t="s">
        <v>329</v>
      </c>
      <c r="E76" s="196">
        <f>IF(ISNUMBER(SEARCH('Карта учёта'!$B$13,Расходка[[#This Row],[Наименование расходного материала]])),MAX($E$1:E75)+1,0)</f>
        <v>0</v>
      </c>
      <c r="F76" s="196">
        <f>IF(ISNUMBER(SEARCH('Карта учёта'!$B$14,Расходка[[#This Row],[Наименование расходного материала]])),MAX($F$1:F75)+1,0)</f>
        <v>0</v>
      </c>
      <c r="G76" s="196">
        <f>IF(ISNUMBER(SEARCH('Карта учёта'!$B$15,Расходка[[#This Row],[Наименование расходного материала]])),MAX($G$1:G75)+1,0)</f>
        <v>0</v>
      </c>
      <c r="H76" s="196">
        <f>IF(ISNUMBER(SEARCH('Карта учёта'!$B$16,Расходка[[#This Row],[Наименование расходного материала]])),MAX($H$1:H75)+1,0)</f>
        <v>0</v>
      </c>
      <c r="I76" s="196">
        <f>IF(ISNUMBER(SEARCH('Карта учёта'!$B$17,Расходка[[#This Row],[Наименование расходного материала]])),MAX($I$1:I75)+1,0)</f>
        <v>0</v>
      </c>
      <c r="J76" s="196">
        <f>IF(ISNUMBER(SEARCH('Карта учёта'!$B$18,Расходка[[#This Row],[Наименование расходного материала]])),MAX($J$1:J75)+1,0)</f>
        <v>0</v>
      </c>
      <c r="K76" s="196">
        <f>IF(ISNUMBER(SEARCH('Карта учёта'!$B$19,Расходка[[#This Row],[Наименование расходного материала]])),MAX($K$1:K75)+1,0)</f>
        <v>0</v>
      </c>
      <c r="L76" s="196">
        <f>IF(ISNUMBER(SEARCH('Карта учёта'!$B$20,Расходка[[#This Row],[Наименование расходного материала]])),MAX($L$1:L75)+1,0)</f>
        <v>0</v>
      </c>
      <c r="M76" s="196">
        <f>IF(ISNUMBER(SEARCH('Карта учёта'!$B$21,Расходка[[#This Row],[Наименование расходного материала]])),MAX($M$1:M75)+1,0)</f>
        <v>0</v>
      </c>
      <c r="N76" s="196">
        <f>IF(ISNUMBER(SEARCH('Карта учёта'!$B$22,Расходка[[#This Row],[Наименование расходного материала]])),MAX($N$1:N75)+1,0)</f>
        <v>0</v>
      </c>
      <c r="O76" s="196">
        <f>IF(ISNUMBER(SEARCH('Карта учёта'!$B$23,Расходка[[#This Row],[Наименование расходного материала]])),MAX($O$1:O75)+1,0)</f>
        <v>0</v>
      </c>
      <c r="P76" s="196">
        <f>IF(ISNUMBER(SEARCH('Карта учёта'!$B$24,Расходка[[#This Row],[Наименование расходного материала]])),MAX($P$1:P75)+1,0)</f>
        <v>75</v>
      </c>
      <c r="Q76" s="196">
        <f>IF(ISNUMBER(SEARCH('Карта учёта'!$B$25,Расходка[[#This Row],[Наименование расходного материала]])),MAX($Q$1:Q75)+1,0)</f>
        <v>75</v>
      </c>
      <c r="R76" s="197" t="str">
        <f>IFERROR(INDEX(Расходка[Наименование расходного материала],MATCH(Расходка[[#This Row],[№]],Поиск_расходки[Индекс1],0)),"")</f>
        <v/>
      </c>
      <c r="S76" s="197" t="str">
        <f>IFERROR(INDEX(Расходка[Наименование расходного материала],MATCH(Расходка[[#This Row],[№]],Поиск_расходки[Индекс2],0)),"")</f>
        <v/>
      </c>
      <c r="T76" s="197" t="str">
        <f>IFERROR(INDEX(Расходка[Наименование расходного материала],MATCH(Расходка[[#This Row],[№]],Поиск_расходки[Индекс3],0)),"")</f>
        <v/>
      </c>
      <c r="U76" s="197" t="str">
        <f>IFERROR(INDEX(Расходка[Наименование расходного материала],MATCH(Расходка[[#This Row],[№]],Поиск_расходки[Индекс4],0)),"")</f>
        <v/>
      </c>
      <c r="V76" s="197" t="str">
        <f>IFERROR(INDEX(Расходка[Наименование расходного материала],MATCH(Расходка[[#This Row],[№]],Поиск_расходки[Индекс5],0)),"")</f>
        <v/>
      </c>
      <c r="W76" s="197" t="str">
        <f>IFERROR(INDEX(Расходка[Наименование расходного материала],MATCH(Расходка[[#This Row],[№]],Поиск_расходки[Индекс6],0)),"")</f>
        <v/>
      </c>
      <c r="X76" s="197" t="str">
        <f>IFERROR(INDEX(Расходка[Наименование расходного материала],MATCH(Расходка[[#This Row],[№]],Поиск_расходки[Индекс7],0)),"")</f>
        <v/>
      </c>
      <c r="Y76" s="197" t="str">
        <f>IFERROR(INDEX(Расходка[Наименование расходного материала],MATCH(Расходка[[#This Row],[№]],Поиск_расходки[Индекс8],0)),"")</f>
        <v/>
      </c>
      <c r="Z76" s="197" t="str">
        <f>IFERROR(INDEX(Расходка[Наименование расходного материала],MATCH(Расходка[[#This Row],[№]],Поиск_расходки[Индекс9],0)),"")</f>
        <v/>
      </c>
      <c r="AA76" s="197" t="str">
        <f>IFERROR(INDEX(Расходка[Наименование расходного материала],MATCH(Расходка[[#This Row],[№]],Поиск_расходки[Индекс10],0)),"")</f>
        <v/>
      </c>
      <c r="AB76" s="197" t="str">
        <f>IFERROR(INDEX(Расходка[Наименование расходного материала],MATCH(Расходка[[#This Row],[№]],Поиск_расходки[Индекс11],0)),"")</f>
        <v/>
      </c>
      <c r="AC76" s="197" t="str">
        <f>IFERROR(INDEX(Расходка[Наименование расходного материала],MATCH(Расходка[[#This Row],[№]],Поиск_расходки[Индекс12],0)),"")</f>
        <v>Launcher 6F JR 4.0</v>
      </c>
      <c r="AD76" s="197" t="str">
        <f>IFERROR(INDEX(Расходка[Наименование расходного материала],MATCH(Расходка[[#This Row],[№]],Поиск_расходки[Индекс13],0)),"")</f>
        <v>Launcher 6F JR 4.0</v>
      </c>
      <c r="AF76" s="4" t="s">
        <v>6</v>
      </c>
      <c r="AG76" s="4" t="s">
        <v>465</v>
      </c>
    </row>
    <row r="77" spans="1:33">
      <c r="A77">
        <f>ROW(Расходка[[#This Row],[Тип расходного материала ]])-1</f>
        <v>76</v>
      </c>
      <c r="B77" t="s">
        <v>4</v>
      </c>
      <c r="C77" t="s">
        <v>339</v>
      </c>
      <c r="E77" s="196">
        <f>IF(ISNUMBER(SEARCH('Карта учёта'!$B$13,Расходка[[#This Row],[Наименование расходного материала]])),MAX($E$1:E76)+1,0)</f>
        <v>0</v>
      </c>
      <c r="F77" s="196">
        <f>IF(ISNUMBER(SEARCH('Карта учёта'!$B$14,Расходка[[#This Row],[Наименование расходного материала]])),MAX($F$1:F76)+1,0)</f>
        <v>0</v>
      </c>
      <c r="G77" s="196">
        <f>IF(ISNUMBER(SEARCH('Карта учёта'!$B$15,Расходка[[#This Row],[Наименование расходного материала]])),MAX($G$1:G76)+1,0)</f>
        <v>0</v>
      </c>
      <c r="H77" s="196">
        <f>IF(ISNUMBER(SEARCH('Карта учёта'!$B$16,Расходка[[#This Row],[Наименование расходного материала]])),MAX($H$1:H76)+1,0)</f>
        <v>0</v>
      </c>
      <c r="I77" s="196">
        <f>IF(ISNUMBER(SEARCH('Карта учёта'!$B$17,Расходка[[#This Row],[Наименование расходного материала]])),MAX($I$1:I76)+1,0)</f>
        <v>0</v>
      </c>
      <c r="J77" s="196">
        <f>IF(ISNUMBER(SEARCH('Карта учёта'!$B$18,Расходка[[#This Row],[Наименование расходного материала]])),MAX($J$1:J76)+1,0)</f>
        <v>0</v>
      </c>
      <c r="K77" s="196">
        <f>IF(ISNUMBER(SEARCH('Карта учёта'!$B$19,Расходка[[#This Row],[Наименование расходного материала]])),MAX($K$1:K76)+1,0)</f>
        <v>0</v>
      </c>
      <c r="L77" s="196">
        <f>IF(ISNUMBER(SEARCH('Карта учёта'!$B$20,Расходка[[#This Row],[Наименование расходного материала]])),MAX($L$1:L76)+1,0)</f>
        <v>0</v>
      </c>
      <c r="M77" s="196">
        <f>IF(ISNUMBER(SEARCH('Карта учёта'!$B$21,Расходка[[#This Row],[Наименование расходного материала]])),MAX($M$1:M76)+1,0)</f>
        <v>0</v>
      </c>
      <c r="N77" s="196">
        <f>IF(ISNUMBER(SEARCH('Карта учёта'!$B$22,Расходка[[#This Row],[Наименование расходного материала]])),MAX($N$1:N76)+1,0)</f>
        <v>0</v>
      </c>
      <c r="O77" s="196">
        <f>IF(ISNUMBER(SEARCH('Карта учёта'!$B$23,Расходка[[#This Row],[Наименование расходного материала]])),MAX($O$1:O76)+1,0)</f>
        <v>0</v>
      </c>
      <c r="P77" s="196">
        <f>IF(ISNUMBER(SEARCH('Карта учёта'!$B$24,Расходка[[#This Row],[Наименование расходного материала]])),MAX($P$1:P76)+1,0)</f>
        <v>76</v>
      </c>
      <c r="Q77" s="196">
        <f>IF(ISNUMBER(SEARCH('Карта учёта'!$B$25,Расходка[[#This Row],[Наименование расходного материала]])),MAX($Q$1:Q76)+1,0)</f>
        <v>76</v>
      </c>
      <c r="R77" s="197" t="str">
        <f>IFERROR(INDEX(Расходка[Наименование расходного материала],MATCH(Расходка[[#This Row],[№]],Поиск_расходки[Индекс1],0)),"")</f>
        <v/>
      </c>
      <c r="S77" s="197" t="str">
        <f>IFERROR(INDEX(Расходка[Наименование расходного материала],MATCH(Расходка[[#This Row],[№]],Поиск_расходки[Индекс2],0)),"")</f>
        <v/>
      </c>
      <c r="T77" s="197" t="str">
        <f>IFERROR(INDEX(Расходка[Наименование расходного материала],MATCH(Расходка[[#This Row],[№]],Поиск_расходки[Индекс3],0)),"")</f>
        <v/>
      </c>
      <c r="U77" s="197" t="str">
        <f>IFERROR(INDEX(Расходка[Наименование расходного материала],MATCH(Расходка[[#This Row],[№]],Поиск_расходки[Индекс4],0)),"")</f>
        <v/>
      </c>
      <c r="V77" s="197" t="str">
        <f>IFERROR(INDEX(Расходка[Наименование расходного материала],MATCH(Расходка[[#This Row],[№]],Поиск_расходки[Индекс5],0)),"")</f>
        <v/>
      </c>
      <c r="W77" s="197" t="str">
        <f>IFERROR(INDEX(Расходка[Наименование расходного материала],MATCH(Расходка[[#This Row],[№]],Поиск_расходки[Индекс6],0)),"")</f>
        <v/>
      </c>
      <c r="X77" s="197" t="str">
        <f>IFERROR(INDEX(Расходка[Наименование расходного материала],MATCH(Расходка[[#This Row],[№]],Поиск_расходки[Индекс7],0)),"")</f>
        <v/>
      </c>
      <c r="Y77" s="197" t="str">
        <f>IFERROR(INDEX(Расходка[Наименование расходного материала],MATCH(Расходка[[#This Row],[№]],Поиск_расходки[Индекс8],0)),"")</f>
        <v/>
      </c>
      <c r="Z77" s="197" t="str">
        <f>IFERROR(INDEX(Расходка[Наименование расходного материала],MATCH(Расходка[[#This Row],[№]],Поиск_расходки[Индекс9],0)),"")</f>
        <v/>
      </c>
      <c r="AA77" s="197" t="str">
        <f>IFERROR(INDEX(Расходка[Наименование расходного материала],MATCH(Расходка[[#This Row],[№]],Поиск_расходки[Индекс10],0)),"")</f>
        <v/>
      </c>
      <c r="AB77" s="197" t="str">
        <f>IFERROR(INDEX(Расходка[Наименование расходного материала],MATCH(Расходка[[#This Row],[№]],Поиск_расходки[Индекс11],0)),"")</f>
        <v/>
      </c>
      <c r="AC77" s="197" t="str">
        <f>IFERROR(INDEX(Расходка[Наименование расходного материала],MATCH(Расходка[[#This Row],[№]],Поиск_расходки[Индекс12],0)),"")</f>
        <v>Launcher 7F JL 3.5</v>
      </c>
      <c r="AD77" s="197" t="str">
        <f>IFERROR(INDEX(Расходка[Наименование расходного материала],MATCH(Расходка[[#This Row],[№]],Поиск_расходки[Индекс13],0)),"")</f>
        <v>Launcher 7F JL 3.5</v>
      </c>
      <c r="AF77" s="4" t="s">
        <v>6</v>
      </c>
      <c r="AG77" s="4" t="s">
        <v>466</v>
      </c>
    </row>
    <row r="78" spans="1:33">
      <c r="A78">
        <f>ROW(Расходка[[#This Row],[Тип расходного материала ]])-1</f>
        <v>77</v>
      </c>
      <c r="B78" t="s">
        <v>4</v>
      </c>
      <c r="C78" t="s">
        <v>338</v>
      </c>
      <c r="E78" s="196">
        <f>IF(ISNUMBER(SEARCH('Карта учёта'!$B$13,Расходка[[#This Row],[Наименование расходного материала]])),MAX($E$1:E77)+1,0)</f>
        <v>0</v>
      </c>
      <c r="F78" s="196">
        <f>IF(ISNUMBER(SEARCH('Карта учёта'!$B$14,Расходка[[#This Row],[Наименование расходного материала]])),MAX($F$1:F77)+1,0)</f>
        <v>0</v>
      </c>
      <c r="G78" s="196">
        <f>IF(ISNUMBER(SEARCH('Карта учёта'!$B$15,Расходка[[#This Row],[Наименование расходного материала]])),MAX($G$1:G77)+1,0)</f>
        <v>0</v>
      </c>
      <c r="H78" s="196">
        <f>IF(ISNUMBER(SEARCH('Карта учёта'!$B$16,Расходка[[#This Row],[Наименование расходного материала]])),MAX($H$1:H77)+1,0)</f>
        <v>0</v>
      </c>
      <c r="I78" s="196">
        <f>IF(ISNUMBER(SEARCH('Карта учёта'!$B$17,Расходка[[#This Row],[Наименование расходного материала]])),MAX($I$1:I77)+1,0)</f>
        <v>0</v>
      </c>
      <c r="J78" s="196">
        <f>IF(ISNUMBER(SEARCH('Карта учёта'!$B$18,Расходка[[#This Row],[Наименование расходного материала]])),MAX($J$1:J77)+1,0)</f>
        <v>0</v>
      </c>
      <c r="K78" s="196">
        <f>IF(ISNUMBER(SEARCH('Карта учёта'!$B$19,Расходка[[#This Row],[Наименование расходного материала]])),MAX($K$1:K77)+1,0)</f>
        <v>0</v>
      </c>
      <c r="L78" s="196">
        <f>IF(ISNUMBER(SEARCH('Карта учёта'!$B$20,Расходка[[#This Row],[Наименование расходного материала]])),MAX($L$1:L77)+1,0)</f>
        <v>0</v>
      </c>
      <c r="M78" s="196">
        <f>IF(ISNUMBER(SEARCH('Карта учёта'!$B$21,Расходка[[#This Row],[Наименование расходного материала]])),MAX($M$1:M77)+1,0)</f>
        <v>0</v>
      </c>
      <c r="N78" s="196">
        <f>IF(ISNUMBER(SEARCH('Карта учёта'!$B$22,Расходка[[#This Row],[Наименование расходного материала]])),MAX($N$1:N77)+1,0)</f>
        <v>0</v>
      </c>
      <c r="O78" s="196">
        <f>IF(ISNUMBER(SEARCH('Карта учёта'!$B$23,Расходка[[#This Row],[Наименование расходного материала]])),MAX($O$1:O77)+1,0)</f>
        <v>0</v>
      </c>
      <c r="P78" s="196">
        <f>IF(ISNUMBER(SEARCH('Карта учёта'!$B$24,Расходка[[#This Row],[Наименование расходного материала]])),MAX($P$1:P77)+1,0)</f>
        <v>77</v>
      </c>
      <c r="Q78" s="196">
        <f>IF(ISNUMBER(SEARCH('Карта учёта'!$B$25,Расходка[[#This Row],[Наименование расходного материала]])),MAX($Q$1:Q77)+1,0)</f>
        <v>77</v>
      </c>
      <c r="R78" s="197" t="str">
        <f>IFERROR(INDEX(Расходка[Наименование расходного материала],MATCH(Расходка[[#This Row],[№]],Поиск_расходки[Индекс1],0)),"")</f>
        <v/>
      </c>
      <c r="S78" s="197" t="str">
        <f>IFERROR(INDEX(Расходка[Наименование расходного материала],MATCH(Расходка[[#This Row],[№]],Поиск_расходки[Индекс2],0)),"")</f>
        <v/>
      </c>
      <c r="T78" s="197" t="str">
        <f>IFERROR(INDEX(Расходка[Наименование расходного материала],MATCH(Расходка[[#This Row],[№]],Поиск_расходки[Индекс3],0)),"")</f>
        <v/>
      </c>
      <c r="U78" s="197" t="str">
        <f>IFERROR(INDEX(Расходка[Наименование расходного материала],MATCH(Расходка[[#This Row],[№]],Поиск_расходки[Индекс4],0)),"")</f>
        <v/>
      </c>
      <c r="V78" s="197" t="str">
        <f>IFERROR(INDEX(Расходка[Наименование расходного материала],MATCH(Расходка[[#This Row],[№]],Поиск_расходки[Индекс5],0)),"")</f>
        <v/>
      </c>
      <c r="W78" s="197" t="str">
        <f>IFERROR(INDEX(Расходка[Наименование расходного материала],MATCH(Расходка[[#This Row],[№]],Поиск_расходки[Индекс6],0)),"")</f>
        <v/>
      </c>
      <c r="X78" s="197" t="str">
        <f>IFERROR(INDEX(Расходка[Наименование расходного материала],MATCH(Расходка[[#This Row],[№]],Поиск_расходки[Индекс7],0)),"")</f>
        <v/>
      </c>
      <c r="Y78" s="197" t="str">
        <f>IFERROR(INDEX(Расходка[Наименование расходного материала],MATCH(Расходка[[#This Row],[№]],Поиск_расходки[Индекс8],0)),"")</f>
        <v/>
      </c>
      <c r="Z78" s="197" t="str">
        <f>IFERROR(INDEX(Расходка[Наименование расходного материала],MATCH(Расходка[[#This Row],[№]],Поиск_расходки[Индекс9],0)),"")</f>
        <v/>
      </c>
      <c r="AA78" s="197" t="str">
        <f>IFERROR(INDEX(Расходка[Наименование расходного материала],MATCH(Расходка[[#This Row],[№]],Поиск_расходки[Индекс10],0)),"")</f>
        <v/>
      </c>
      <c r="AB78" s="197" t="str">
        <f>IFERROR(INDEX(Расходка[Наименование расходного материала],MATCH(Расходка[[#This Row],[№]],Поиск_расходки[Индекс11],0)),"")</f>
        <v/>
      </c>
      <c r="AC78" s="197" t="str">
        <f>IFERROR(INDEX(Расходка[Наименование расходного материала],MATCH(Расходка[[#This Row],[№]],Поиск_расходки[Индекс12],0)),"")</f>
        <v>Launcher 7F JL 4.0</v>
      </c>
      <c r="AD78" s="197" t="str">
        <f>IFERROR(INDEX(Расходка[Наименование расходного материала],MATCH(Расходка[[#This Row],[№]],Поиск_расходки[Индекс13],0)),"")</f>
        <v>Launcher 7F JL 4.0</v>
      </c>
      <c r="AF78" s="4" t="s">
        <v>6</v>
      </c>
      <c r="AG78" s="4" t="s">
        <v>467</v>
      </c>
    </row>
    <row r="79" spans="1:33">
      <c r="A79">
        <f>ROW(Расходка[[#This Row],[Тип расходного материала ]])-1</f>
        <v>78</v>
      </c>
      <c r="B79" t="s">
        <v>301</v>
      </c>
      <c r="C79" s="1" t="s">
        <v>330</v>
      </c>
      <c r="E79" s="196">
        <f>IF(ISNUMBER(SEARCH('Карта учёта'!$B$13,Расходка[[#This Row],[Наименование расходного материала]])),MAX($E$1:E78)+1,0)</f>
        <v>0</v>
      </c>
      <c r="F79" s="196">
        <f>IF(ISNUMBER(SEARCH('Карта учёта'!$B$14,Расходка[[#This Row],[Наименование расходного материала]])),MAX($F$1:F78)+1,0)</f>
        <v>0</v>
      </c>
      <c r="G79" s="196">
        <f>IF(ISNUMBER(SEARCH('Карта учёта'!$B$15,Расходка[[#This Row],[Наименование расходного материала]])),MAX($G$1:G78)+1,0)</f>
        <v>0</v>
      </c>
      <c r="H79" s="196">
        <f>IF(ISNUMBER(SEARCH('Карта учёта'!$B$16,Расходка[[#This Row],[Наименование расходного материала]])),MAX($H$1:H78)+1,0)</f>
        <v>0</v>
      </c>
      <c r="I79" s="196">
        <f>IF(ISNUMBER(SEARCH('Карта учёта'!$B$17,Расходка[[#This Row],[Наименование расходного материала]])),MAX($I$1:I78)+1,0)</f>
        <v>0</v>
      </c>
      <c r="J79" s="196">
        <f>IF(ISNUMBER(SEARCH('Карта учёта'!$B$18,Расходка[[#This Row],[Наименование расходного материала]])),MAX($J$1:J78)+1,0)</f>
        <v>0</v>
      </c>
      <c r="K79" s="196">
        <f>IF(ISNUMBER(SEARCH('Карта учёта'!$B$19,Расходка[[#This Row],[Наименование расходного материала]])),MAX($K$1:K78)+1,0)</f>
        <v>0</v>
      </c>
      <c r="L79" s="196">
        <f>IF(ISNUMBER(SEARCH('Карта учёта'!$B$20,Расходка[[#This Row],[Наименование расходного материала]])),MAX($L$1:L78)+1,0)</f>
        <v>0</v>
      </c>
      <c r="M79" s="196">
        <f>IF(ISNUMBER(SEARCH('Карта учёта'!$B$21,Расходка[[#This Row],[Наименование расходного материала]])),MAX($M$1:M78)+1,0)</f>
        <v>0</v>
      </c>
      <c r="N79" s="196">
        <f>IF(ISNUMBER(SEARCH('Карта учёта'!$B$22,Расходка[[#This Row],[Наименование расходного материала]])),MAX($N$1:N78)+1,0)</f>
        <v>0</v>
      </c>
      <c r="O79" s="196">
        <f>IF(ISNUMBER(SEARCH('Карта учёта'!$B$23,Расходка[[#This Row],[Наименование расходного материала]])),MAX($O$1:O78)+1,0)</f>
        <v>0</v>
      </c>
      <c r="P79" s="196">
        <f>IF(ISNUMBER(SEARCH('Карта учёта'!$B$24,Расходка[[#This Row],[Наименование расходного материала]])),MAX($P$1:P78)+1,0)</f>
        <v>78</v>
      </c>
      <c r="Q79" s="196">
        <f>IF(ISNUMBER(SEARCH('Карта учёта'!$B$25,Расходка[[#This Row],[Наименование расходного материала]])),MAX($Q$1:Q78)+1,0)</f>
        <v>78</v>
      </c>
      <c r="R79" s="197" t="str">
        <f>IFERROR(INDEX(Расходка[Наименование расходного материала],MATCH(Расходка[[#This Row],[№]],Поиск_расходки[Индекс1],0)),"")</f>
        <v/>
      </c>
      <c r="S79" s="197" t="str">
        <f>IFERROR(INDEX(Расходка[Наименование расходного материала],MATCH(Расходка[[#This Row],[№]],Поиск_расходки[Индекс2],0)),"")</f>
        <v/>
      </c>
      <c r="T79" s="197" t="str">
        <f>IFERROR(INDEX(Расходка[Наименование расходного материала],MATCH(Расходка[[#This Row],[№]],Поиск_расходки[Индекс3],0)),"")</f>
        <v/>
      </c>
      <c r="U79" s="197" t="str">
        <f>IFERROR(INDEX(Расходка[Наименование расходного материала],MATCH(Расходка[[#This Row],[№]],Поиск_расходки[Индекс4],0)),"")</f>
        <v/>
      </c>
      <c r="V79" s="197" t="str">
        <f>IFERROR(INDEX(Расходка[Наименование расходного материала],MATCH(Расходка[[#This Row],[№]],Поиск_расходки[Индекс5],0)),"")</f>
        <v/>
      </c>
      <c r="W79" s="197" t="str">
        <f>IFERROR(INDEX(Расходка[Наименование расходного материала],MATCH(Расходка[[#This Row],[№]],Поиск_расходки[Индекс6],0)),"")</f>
        <v/>
      </c>
      <c r="X79" s="197" t="str">
        <f>IFERROR(INDEX(Расходка[Наименование расходного материала],MATCH(Расходка[[#This Row],[№]],Поиск_расходки[Индекс7],0)),"")</f>
        <v/>
      </c>
      <c r="Y79" s="197" t="str">
        <f>IFERROR(INDEX(Расходка[Наименование расходного материала],MATCH(Расходка[[#This Row],[№]],Поиск_расходки[Индекс8],0)),"")</f>
        <v/>
      </c>
      <c r="Z79" s="197" t="str">
        <f>IFERROR(INDEX(Расходка[Наименование расходного материала],MATCH(Расходка[[#This Row],[№]],Поиск_расходки[Индекс9],0)),"")</f>
        <v/>
      </c>
      <c r="AA79" s="197" t="str">
        <f>IFERROR(INDEX(Расходка[Наименование расходного материала],MATCH(Расходка[[#This Row],[№]],Поиск_расходки[Индекс10],0)),"")</f>
        <v/>
      </c>
      <c r="AB79" s="197" t="str">
        <f>IFERROR(INDEX(Расходка[Наименование расходного материала],MATCH(Расходка[[#This Row],[№]],Поиск_расходки[Индекс11],0)),"")</f>
        <v/>
      </c>
      <c r="AC79" s="197" t="str">
        <f>IFERROR(INDEX(Расходка[Наименование расходного материала],MATCH(Расходка[[#This Row],[№]],Поиск_расходки[Индекс12],0)),"")</f>
        <v>Angio-Seal™ VIP</v>
      </c>
      <c r="AD79" s="197" t="str">
        <f>IFERROR(INDEX(Расходка[Наименование расходного материала],MATCH(Расходка[[#This Row],[№]],Поиск_расходки[Индекс13],0)),"")</f>
        <v>Angio-Seal™ VIP</v>
      </c>
      <c r="AF79" s="4" t="s">
        <v>6</v>
      </c>
      <c r="AG79" s="4" t="s">
        <v>468</v>
      </c>
    </row>
    <row r="80" spans="1:33">
      <c r="E80" s="196">
        <f>IF(ISNUMBER(SEARCH('Карта учёта'!$B$13,Расходка[[#This Row],[Наименование расходного материала]])),MAX($E$1:E79)+1,0)</f>
        <v>0</v>
      </c>
      <c r="F80" s="196">
        <f>IF(ISNUMBER(SEARCH('Карта учёта'!$B$14,Расходка[[#This Row],[Наименование расходного материала]])),MAX($F$1:F79)+1,0)</f>
        <v>0</v>
      </c>
      <c r="G80" s="196">
        <f>IF(ISNUMBER(SEARCH('Карта учёта'!$B$15,Расходка[[#This Row],[Наименование расходного материала]])),MAX($G$1:G79)+1,0)</f>
        <v>0</v>
      </c>
      <c r="H80" s="196">
        <f>IF(ISNUMBER(SEARCH('Карта учёта'!$B$16,Расходка[[#This Row],[Наименование расходного материала]])),MAX($H$1:H79)+1,0)</f>
        <v>0</v>
      </c>
      <c r="I80" s="196">
        <f>IF(ISNUMBER(SEARCH('Карта учёта'!$B$17,Расходка[[#This Row],[Наименование расходного материала]])),MAX($I$1:I79)+1,0)</f>
        <v>0</v>
      </c>
      <c r="J80" s="196">
        <f>IF(ISNUMBER(SEARCH('Карта учёта'!$B$18,Расходка[[#This Row],[Наименование расходного материала]])),MAX($J$1:J79)+1,0)</f>
        <v>0</v>
      </c>
      <c r="K80" s="196">
        <f>IF(ISNUMBER(SEARCH('Карта учёта'!$B$19,Расходка[[#This Row],[Наименование расходного материала]])),MAX($K$1:K79)+1,0)</f>
        <v>0</v>
      </c>
      <c r="L80" s="196">
        <f>IF(ISNUMBER(SEARCH('Карта учёта'!$B$20,Расходка[[#This Row],[Наименование расходного материала]])),MAX($L$1:L79)+1,0)</f>
        <v>0</v>
      </c>
      <c r="M80" s="196">
        <f>IF(ISNUMBER(SEARCH('Карта учёта'!$B$21,Расходка[[#This Row],[Наименование расходного материала]])),MAX($M$1:M79)+1,0)</f>
        <v>0</v>
      </c>
      <c r="N80" s="196">
        <f>IF(ISNUMBER(SEARCH('Карта учёта'!$B$22,Расходка[[#This Row],[Наименование расходного материала]])),MAX($N$1:N79)+1,0)</f>
        <v>0</v>
      </c>
      <c r="O80" s="196">
        <f>IF(ISNUMBER(SEARCH('Карта учёта'!$B$23,Расходка[[#This Row],[Наименование расходного материала]])),MAX($O$1:O79)+1,0)</f>
        <v>0</v>
      </c>
      <c r="P80" s="196">
        <f>IF(ISNUMBER(SEARCH('Карта учёта'!$B$24,Расходка[[#This Row],[Наименование расходного материала]])),MAX($P$1:P79)+1,0)</f>
        <v>0</v>
      </c>
      <c r="Q80" s="196">
        <f>IF(ISNUMBER(SEARCH('Карта учёта'!$B$25,Расходка[[#This Row],[Наименование расходного материала]])),MAX($Q$1:Q79)+1,0)</f>
        <v>0</v>
      </c>
      <c r="R80" s="197" t="str">
        <f>IFERROR(INDEX(Расходка[Наименование расходного материала],MATCH(Расходка[[#This Row],[№]],Поиск_расходки[Индекс1],0)),"")</f>
        <v/>
      </c>
      <c r="S80" s="197" t="str">
        <f>IFERROR(INDEX(Расходка[Наименование расходного материала],MATCH(Расходка[[#This Row],[№]],Поиск_расходки[Индекс2],0)),"")</f>
        <v/>
      </c>
      <c r="T80" s="197" t="str">
        <f>IFERROR(INDEX(Расходка[Наименование расходного материала],MATCH(Расходка[[#This Row],[№]],Поиск_расходки[Индекс3],0)),"")</f>
        <v/>
      </c>
      <c r="U80" s="197" t="str">
        <f>IFERROR(INDEX(Расходка[Наименование расходного материала],MATCH(Расходка[[#This Row],[№]],Поиск_расходки[Индекс4],0)),"")</f>
        <v/>
      </c>
      <c r="V80" s="197" t="str">
        <f>IFERROR(INDEX(Расходка[Наименование расходного материала],MATCH(Расходка[[#This Row],[№]],Поиск_расходки[Индекс5],0)),"")</f>
        <v/>
      </c>
      <c r="W80" s="197" t="str">
        <f>IFERROR(INDEX(Расходка[Наименование расходного материала],MATCH(Расходка[[#This Row],[№]],Поиск_расходки[Индекс6],0)),"")</f>
        <v/>
      </c>
      <c r="X80" s="197" t="str">
        <f>IFERROR(INDEX(Расходка[Наименование расходного материала],MATCH(Расходка[[#This Row],[№]],Поиск_расходки[Индекс7],0)),"")</f>
        <v/>
      </c>
      <c r="Y80" s="197" t="str">
        <f>IFERROR(INDEX(Расходка[Наименование расходного материала],MATCH(Расходка[[#This Row],[№]],Поиск_расходки[Индекс8],0)),"")</f>
        <v/>
      </c>
      <c r="Z80" s="197" t="str">
        <f>IFERROR(INDEX(Расходка[Наименование расходного материала],MATCH(Расходка[[#This Row],[№]],Поиск_расходки[Индекс9],0)),"")</f>
        <v/>
      </c>
      <c r="AA80" s="197" t="str">
        <f>IFERROR(INDEX(Расходка[Наименование расходного материала],MATCH(Расходка[[#This Row],[№]],Поиск_расходки[Индекс10],0)),"")</f>
        <v/>
      </c>
      <c r="AB80" s="197" t="str">
        <f>IFERROR(INDEX(Расходка[Наименование расходного материала],MATCH(Расходка[[#This Row],[№]],Поиск_расходки[Индекс11],0)),"")</f>
        <v/>
      </c>
      <c r="AC80" s="197" t="str">
        <f>IFERROR(INDEX(Расходка[Наименование расходного материала],MATCH(Расходка[[#This Row],[№]],Поиск_расходки[Индекс12],0)),"")</f>
        <v/>
      </c>
      <c r="AD80" s="197" t="str">
        <f>IFERROR(INDEX(Расходка[Наименование расходного материала],MATCH(Расходка[[#This Row],[№]],Поиск_расходки[Индекс13],0)),"")</f>
        <v/>
      </c>
      <c r="AF80" s="4" t="s">
        <v>6</v>
      </c>
      <c r="AG80" s="4" t="s">
        <v>469</v>
      </c>
    </row>
    <row r="81" spans="5:33">
      <c r="E81" s="196">
        <f>IF(ISNUMBER(SEARCH('Карта учёта'!$B$13,Расходка[[#This Row],[Наименование расходного материала]])),MAX($E$1:E80)+1,0)</f>
        <v>0</v>
      </c>
      <c r="F81" s="196">
        <f>IF(ISNUMBER(SEARCH('Карта учёта'!$B$14,Расходка[[#This Row],[Наименование расходного материала]])),MAX($F$1:F80)+1,0)</f>
        <v>0</v>
      </c>
      <c r="G81" s="196">
        <f>IF(ISNUMBER(SEARCH('Карта учёта'!$B$15,Расходка[[#This Row],[Наименование расходного материала]])),MAX($G$1:G80)+1,0)</f>
        <v>0</v>
      </c>
      <c r="H81" s="196">
        <f>IF(ISNUMBER(SEARCH('Карта учёта'!$B$16,Расходка[[#This Row],[Наименование расходного материала]])),MAX($H$1:H80)+1,0)</f>
        <v>0</v>
      </c>
      <c r="I81" s="196">
        <f>IF(ISNUMBER(SEARCH('Карта учёта'!$B$17,Расходка[[#This Row],[Наименование расходного материала]])),MAX($I$1:I80)+1,0)</f>
        <v>0</v>
      </c>
      <c r="J81" s="196">
        <f>IF(ISNUMBER(SEARCH('Карта учёта'!$B$18,Расходка[[#This Row],[Наименование расходного материала]])),MAX($J$1:J80)+1,0)</f>
        <v>0</v>
      </c>
      <c r="K81" s="196">
        <f>IF(ISNUMBER(SEARCH('Карта учёта'!$B$19,Расходка[[#This Row],[Наименование расходного материала]])),MAX($K$1:K80)+1,0)</f>
        <v>0</v>
      </c>
      <c r="L81" s="196">
        <f>IF(ISNUMBER(SEARCH('Карта учёта'!$B$20,Расходка[[#This Row],[Наименование расходного материала]])),MAX($L$1:L80)+1,0)</f>
        <v>0</v>
      </c>
      <c r="M81" s="196">
        <f>IF(ISNUMBER(SEARCH('Карта учёта'!$B$21,Расходка[[#This Row],[Наименование расходного материала]])),MAX($M$1:M80)+1,0)</f>
        <v>0</v>
      </c>
      <c r="N81" s="196">
        <f>IF(ISNUMBER(SEARCH('Карта учёта'!$B$22,Расходка[[#This Row],[Наименование расходного материала]])),MAX($N$1:N80)+1,0)</f>
        <v>0</v>
      </c>
      <c r="O81" s="196">
        <f>IF(ISNUMBER(SEARCH('Карта учёта'!$B$23,Расходка[[#This Row],[Наименование расходного материала]])),MAX($O$1:O80)+1,0)</f>
        <v>0</v>
      </c>
      <c r="P81" s="196">
        <f>IF(ISNUMBER(SEARCH('Карта учёта'!$B$24,Расходка[[#This Row],[Наименование расходного материала]])),MAX($P$1:P80)+1,0)</f>
        <v>0</v>
      </c>
      <c r="Q81" s="196">
        <f>IF(ISNUMBER(SEARCH('Карта учёта'!$B$25,Расходка[[#This Row],[Наименование расходного материала]])),MAX($Q$1:Q80)+1,0)</f>
        <v>0</v>
      </c>
      <c r="R81" s="197" t="str">
        <f>IFERROR(INDEX(Расходка[Наименование расходного материала],MATCH(Расходка[[#This Row],[№]],Поиск_расходки[Индекс1],0)),"")</f>
        <v/>
      </c>
      <c r="S81" s="197" t="str">
        <f>IFERROR(INDEX(Расходка[Наименование расходного материала],MATCH(Расходка[[#This Row],[№]],Поиск_расходки[Индекс2],0)),"")</f>
        <v/>
      </c>
      <c r="T81" s="197" t="str">
        <f>IFERROR(INDEX(Расходка[Наименование расходного материала],MATCH(Расходка[[#This Row],[№]],Поиск_расходки[Индекс3],0)),"")</f>
        <v/>
      </c>
      <c r="U81" s="197" t="str">
        <f>IFERROR(INDEX(Расходка[Наименование расходного материала],MATCH(Расходка[[#This Row],[№]],Поиск_расходки[Индекс4],0)),"")</f>
        <v/>
      </c>
      <c r="V81" s="197" t="str">
        <f>IFERROR(INDEX(Расходка[Наименование расходного материала],MATCH(Расходка[[#This Row],[№]],Поиск_расходки[Индекс5],0)),"")</f>
        <v/>
      </c>
      <c r="W81" s="197" t="str">
        <f>IFERROR(INDEX(Расходка[Наименование расходного материала],MATCH(Расходка[[#This Row],[№]],Поиск_расходки[Индекс6],0)),"")</f>
        <v/>
      </c>
      <c r="X81" s="197" t="str">
        <f>IFERROR(INDEX(Расходка[Наименование расходного материала],MATCH(Расходка[[#This Row],[№]],Поиск_расходки[Индекс7],0)),"")</f>
        <v/>
      </c>
      <c r="Y81" s="197" t="str">
        <f>IFERROR(INDEX(Расходка[Наименование расходного материала],MATCH(Расходка[[#This Row],[№]],Поиск_расходки[Индекс8],0)),"")</f>
        <v/>
      </c>
      <c r="Z81" s="197" t="str">
        <f>IFERROR(INDEX(Расходка[Наименование расходного материала],MATCH(Расходка[[#This Row],[№]],Поиск_расходки[Индекс9],0)),"")</f>
        <v/>
      </c>
      <c r="AA81" s="197" t="str">
        <f>IFERROR(INDEX(Расходка[Наименование расходного материала],MATCH(Расходка[[#This Row],[№]],Поиск_расходки[Индекс10],0)),"")</f>
        <v/>
      </c>
      <c r="AB81" s="197" t="str">
        <f>IFERROR(INDEX(Расходка[Наименование расходного материала],MATCH(Расходка[[#This Row],[№]],Поиск_расходки[Индекс11],0)),"")</f>
        <v/>
      </c>
      <c r="AC81" s="197" t="str">
        <f>IFERROR(INDEX(Расходка[Наименование расходного материала],MATCH(Расходка[[#This Row],[№]],Поиск_расходки[Индекс12],0)),"")</f>
        <v/>
      </c>
      <c r="AD81" s="197" t="str">
        <f>IFERROR(INDEX(Расходка[Наименование расходного материала],MATCH(Расходка[[#This Row],[№]],Поиск_расходки[Индекс13],0)),"")</f>
        <v/>
      </c>
      <c r="AF81" s="4" t="s">
        <v>6</v>
      </c>
      <c r="AG81" s="4" t="s">
        <v>470</v>
      </c>
    </row>
    <row r="82" spans="5:33">
      <c r="E82" s="196">
        <f>IF(ISNUMBER(SEARCH('Карта учёта'!$B$13,Расходка[[#This Row],[Наименование расходного материала]])),MAX($E$1:E81)+1,0)</f>
        <v>0</v>
      </c>
      <c r="F82" s="196">
        <f>IF(ISNUMBER(SEARCH('Карта учёта'!$B$14,Расходка[[#This Row],[Наименование расходного материала]])),MAX($F$1:F81)+1,0)</f>
        <v>0</v>
      </c>
      <c r="G82" s="196">
        <f>IF(ISNUMBER(SEARCH('Карта учёта'!$B$15,Расходка[[#This Row],[Наименование расходного материала]])),MAX($G$1:G81)+1,0)</f>
        <v>0</v>
      </c>
      <c r="H82" s="196">
        <f>IF(ISNUMBER(SEARCH('Карта учёта'!$B$16,Расходка[[#This Row],[Наименование расходного материала]])),MAX($H$1:H81)+1,0)</f>
        <v>0</v>
      </c>
      <c r="I82" s="196">
        <f>IF(ISNUMBER(SEARCH('Карта учёта'!$B$17,Расходка[[#This Row],[Наименование расходного материала]])),MAX($I$1:I81)+1,0)</f>
        <v>0</v>
      </c>
      <c r="J82" s="196">
        <f>IF(ISNUMBER(SEARCH('Карта учёта'!$B$18,Расходка[[#This Row],[Наименование расходного материала]])),MAX($J$1:J81)+1,0)</f>
        <v>0</v>
      </c>
      <c r="K82" s="196">
        <f>IF(ISNUMBER(SEARCH('Карта учёта'!$B$19,Расходка[[#This Row],[Наименование расходного материала]])),MAX($K$1:K81)+1,0)</f>
        <v>0</v>
      </c>
      <c r="L82" s="196">
        <f>IF(ISNUMBER(SEARCH('Карта учёта'!$B$20,Расходка[[#This Row],[Наименование расходного материала]])),MAX($L$1:L81)+1,0)</f>
        <v>0</v>
      </c>
      <c r="M82" s="196">
        <f>IF(ISNUMBER(SEARCH('Карта учёта'!$B$21,Расходка[[#This Row],[Наименование расходного материала]])),MAX($M$1:M81)+1,0)</f>
        <v>0</v>
      </c>
      <c r="N82" s="196">
        <f>IF(ISNUMBER(SEARCH('Карта учёта'!$B$22,Расходка[[#This Row],[Наименование расходного материала]])),MAX($N$1:N81)+1,0)</f>
        <v>0</v>
      </c>
      <c r="O82" s="196">
        <f>IF(ISNUMBER(SEARCH('Карта учёта'!$B$23,Расходка[[#This Row],[Наименование расходного материала]])),MAX($O$1:O81)+1,0)</f>
        <v>0</v>
      </c>
      <c r="P82" s="196">
        <f>IF(ISNUMBER(SEARCH('Карта учёта'!$B$24,Расходка[[#This Row],[Наименование расходного материала]])),MAX($P$1:P81)+1,0)</f>
        <v>0</v>
      </c>
      <c r="Q82" s="196">
        <f>IF(ISNUMBER(SEARCH('Карта учёта'!$B$25,Расходка[[#This Row],[Наименование расходного материала]])),MAX($Q$1:Q81)+1,0)</f>
        <v>0</v>
      </c>
      <c r="R82" s="197" t="str">
        <f>IFERROR(INDEX(Расходка[Наименование расходного материала],MATCH(Расходка[[#This Row],[№]],Поиск_расходки[Индекс1],0)),"")</f>
        <v/>
      </c>
      <c r="S82" s="197" t="str">
        <f>IFERROR(INDEX(Расходка[Наименование расходного материала],MATCH(Расходка[[#This Row],[№]],Поиск_расходки[Индекс2],0)),"")</f>
        <v/>
      </c>
      <c r="T82" s="197" t="str">
        <f>IFERROR(INDEX(Расходка[Наименование расходного материала],MATCH(Расходка[[#This Row],[№]],Поиск_расходки[Индекс3],0)),"")</f>
        <v/>
      </c>
      <c r="U82" s="197" t="str">
        <f>IFERROR(INDEX(Расходка[Наименование расходного материала],MATCH(Расходка[[#This Row],[№]],Поиск_расходки[Индекс4],0)),"")</f>
        <v/>
      </c>
      <c r="V82" s="197" t="str">
        <f>IFERROR(INDEX(Расходка[Наименование расходного материала],MATCH(Расходка[[#This Row],[№]],Поиск_расходки[Индекс5],0)),"")</f>
        <v/>
      </c>
      <c r="W82" s="197" t="str">
        <f>IFERROR(INDEX(Расходка[Наименование расходного материала],MATCH(Расходка[[#This Row],[№]],Поиск_расходки[Индекс6],0)),"")</f>
        <v/>
      </c>
      <c r="X82" s="197" t="str">
        <f>IFERROR(INDEX(Расходка[Наименование расходного материала],MATCH(Расходка[[#This Row],[№]],Поиск_расходки[Индекс7],0)),"")</f>
        <v/>
      </c>
      <c r="Y82" s="197" t="str">
        <f>IFERROR(INDEX(Расходка[Наименование расходного материала],MATCH(Расходка[[#This Row],[№]],Поиск_расходки[Индекс8],0)),"")</f>
        <v/>
      </c>
      <c r="Z82" s="197" t="str">
        <f>IFERROR(INDEX(Расходка[Наименование расходного материала],MATCH(Расходка[[#This Row],[№]],Поиск_расходки[Индекс9],0)),"")</f>
        <v/>
      </c>
      <c r="AA82" s="197" t="str">
        <f>IFERROR(INDEX(Расходка[Наименование расходного материала],MATCH(Расходка[[#This Row],[№]],Поиск_расходки[Индекс10],0)),"")</f>
        <v/>
      </c>
      <c r="AB82" s="197" t="str">
        <f>IFERROR(INDEX(Расходка[Наименование расходного материала],MATCH(Расходка[[#This Row],[№]],Поиск_расходки[Индекс11],0)),"")</f>
        <v/>
      </c>
      <c r="AC82" s="197" t="str">
        <f>IFERROR(INDEX(Расходка[Наименование расходного материала],MATCH(Расходка[[#This Row],[№]],Поиск_расходки[Индекс12],0)),"")</f>
        <v/>
      </c>
      <c r="AD82" s="197" t="str">
        <f>IFERROR(INDEX(Расходка[Наименование расходного материала],MATCH(Расходка[[#This Row],[№]],Поиск_расходки[Индекс13],0)),"")</f>
        <v/>
      </c>
      <c r="AF82" s="4" t="s">
        <v>6</v>
      </c>
      <c r="AG82" s="4" t="s">
        <v>471</v>
      </c>
    </row>
    <row r="83" spans="5:33">
      <c r="E83" s="196">
        <f>IF(ISNUMBER(SEARCH('Карта учёта'!$B$13,Расходка[[#This Row],[Наименование расходного материала]])),MAX($E$1:E82)+1,0)</f>
        <v>0</v>
      </c>
      <c r="F83" s="196">
        <f>IF(ISNUMBER(SEARCH('Карта учёта'!$B$14,Расходка[[#This Row],[Наименование расходного материала]])),MAX($F$1:F82)+1,0)</f>
        <v>0</v>
      </c>
      <c r="G83" s="196">
        <f>IF(ISNUMBER(SEARCH('Карта учёта'!$B$15,Расходка[[#This Row],[Наименование расходного материала]])),MAX($G$1:G82)+1,0)</f>
        <v>0</v>
      </c>
      <c r="H83" s="196">
        <f>IF(ISNUMBER(SEARCH('Карта учёта'!$B$16,Расходка[[#This Row],[Наименование расходного материала]])),MAX($H$1:H82)+1,0)</f>
        <v>0</v>
      </c>
      <c r="I83" s="196">
        <f>IF(ISNUMBER(SEARCH('Карта учёта'!$B$17,Расходка[[#This Row],[Наименование расходного материала]])),MAX($I$1:I82)+1,0)</f>
        <v>0</v>
      </c>
      <c r="J83" s="196">
        <f>IF(ISNUMBER(SEARCH('Карта учёта'!$B$18,Расходка[[#This Row],[Наименование расходного материала]])),MAX($J$1:J82)+1,0)</f>
        <v>0</v>
      </c>
      <c r="K83" s="196">
        <f>IF(ISNUMBER(SEARCH('Карта учёта'!$B$19,Расходка[[#This Row],[Наименование расходного материала]])),MAX($K$1:K82)+1,0)</f>
        <v>0</v>
      </c>
      <c r="L83" s="196">
        <f>IF(ISNUMBER(SEARCH('Карта учёта'!$B$20,Расходка[[#This Row],[Наименование расходного материала]])),MAX($L$1:L82)+1,0)</f>
        <v>0</v>
      </c>
      <c r="M83" s="196">
        <f>IF(ISNUMBER(SEARCH('Карта учёта'!$B$21,Расходка[[#This Row],[Наименование расходного материала]])),MAX($M$1:M82)+1,0)</f>
        <v>0</v>
      </c>
      <c r="N83" s="196">
        <f>IF(ISNUMBER(SEARCH('Карта учёта'!$B$22,Расходка[[#This Row],[Наименование расходного материала]])),MAX($N$1:N82)+1,0)</f>
        <v>0</v>
      </c>
      <c r="O83" s="196">
        <f>IF(ISNUMBER(SEARCH('Карта учёта'!$B$23,Расходка[[#This Row],[Наименование расходного материала]])),MAX($O$1:O82)+1,0)</f>
        <v>0</v>
      </c>
      <c r="P83" s="196">
        <f>IF(ISNUMBER(SEARCH('Карта учёта'!$B$24,Расходка[[#This Row],[Наименование расходного материала]])),MAX($P$1:P82)+1,0)</f>
        <v>0</v>
      </c>
      <c r="Q83" s="196">
        <f>IF(ISNUMBER(SEARCH('Карта учёта'!$B$25,Расходка[[#This Row],[Наименование расходного материала]])),MAX($Q$1:Q82)+1,0)</f>
        <v>0</v>
      </c>
      <c r="R83" s="197" t="str">
        <f>IFERROR(INDEX(Расходка[Наименование расходного материала],MATCH(Расходка[[#This Row],[№]],Поиск_расходки[Индекс1],0)),"")</f>
        <v/>
      </c>
      <c r="S83" s="197" t="str">
        <f>IFERROR(INDEX(Расходка[Наименование расходного материала],MATCH(Расходка[[#This Row],[№]],Поиск_расходки[Индекс2],0)),"")</f>
        <v/>
      </c>
      <c r="T83" s="197" t="str">
        <f>IFERROR(INDEX(Расходка[Наименование расходного материала],MATCH(Расходка[[#This Row],[№]],Поиск_расходки[Индекс3],0)),"")</f>
        <v/>
      </c>
      <c r="U83" s="197" t="str">
        <f>IFERROR(INDEX(Расходка[Наименование расходного материала],MATCH(Расходка[[#This Row],[№]],Поиск_расходки[Индекс4],0)),"")</f>
        <v/>
      </c>
      <c r="V83" s="197" t="str">
        <f>IFERROR(INDEX(Расходка[Наименование расходного материала],MATCH(Расходка[[#This Row],[№]],Поиск_расходки[Индекс5],0)),"")</f>
        <v/>
      </c>
      <c r="W83" s="197" t="str">
        <f>IFERROR(INDEX(Расходка[Наименование расходного материала],MATCH(Расходка[[#This Row],[№]],Поиск_расходки[Индекс6],0)),"")</f>
        <v/>
      </c>
      <c r="X83" s="197" t="str">
        <f>IFERROR(INDEX(Расходка[Наименование расходного материала],MATCH(Расходка[[#This Row],[№]],Поиск_расходки[Индекс7],0)),"")</f>
        <v/>
      </c>
      <c r="Y83" s="197" t="str">
        <f>IFERROR(INDEX(Расходка[Наименование расходного материала],MATCH(Расходка[[#This Row],[№]],Поиск_расходки[Индекс8],0)),"")</f>
        <v/>
      </c>
      <c r="Z83" s="197" t="str">
        <f>IFERROR(INDEX(Расходка[Наименование расходного материала],MATCH(Расходка[[#This Row],[№]],Поиск_расходки[Индекс9],0)),"")</f>
        <v/>
      </c>
      <c r="AA83" s="197" t="str">
        <f>IFERROR(INDEX(Расходка[Наименование расходного материала],MATCH(Расходка[[#This Row],[№]],Поиск_расходки[Индекс10],0)),"")</f>
        <v/>
      </c>
      <c r="AB83" s="197" t="str">
        <f>IFERROR(INDEX(Расходка[Наименование расходного материала],MATCH(Расходка[[#This Row],[№]],Поиск_расходки[Индекс11],0)),"")</f>
        <v/>
      </c>
      <c r="AC83" s="197" t="str">
        <f>IFERROR(INDEX(Расходка[Наименование расходного материала],MATCH(Расходка[[#This Row],[№]],Поиск_расходки[Индекс12],0)),"")</f>
        <v/>
      </c>
      <c r="AD83" s="197" t="str">
        <f>IFERROR(INDEX(Расходка[Наименование расходного материала],MATCH(Расходка[[#This Row],[№]],Поиск_расходки[Индекс13],0)),"")</f>
        <v/>
      </c>
      <c r="AF83" s="4" t="s">
        <v>6</v>
      </c>
      <c r="AG83" s="4" t="s">
        <v>472</v>
      </c>
    </row>
    <row r="84" spans="5:33">
      <c r="E84" s="196">
        <f>IF(ISNUMBER(SEARCH('Карта учёта'!$B$13,Расходка[[#This Row],[Наименование расходного материала]])),MAX($E$1:E83)+1,0)</f>
        <v>0</v>
      </c>
      <c r="F84" s="196">
        <f>IF(ISNUMBER(SEARCH('Карта учёта'!$B$14,Расходка[[#This Row],[Наименование расходного материала]])),MAX($F$1:F83)+1,0)</f>
        <v>0</v>
      </c>
      <c r="G84" s="196">
        <f>IF(ISNUMBER(SEARCH('Карта учёта'!$B$15,Расходка[[#This Row],[Наименование расходного материала]])),MAX($G$1:G83)+1,0)</f>
        <v>0</v>
      </c>
      <c r="H84" s="196">
        <f>IF(ISNUMBER(SEARCH('Карта учёта'!$B$16,Расходка[[#This Row],[Наименование расходного материала]])),MAX($H$1:H83)+1,0)</f>
        <v>0</v>
      </c>
      <c r="I84" s="196">
        <f>IF(ISNUMBER(SEARCH('Карта учёта'!$B$17,Расходка[[#This Row],[Наименование расходного материала]])),MAX($I$1:I83)+1,0)</f>
        <v>0</v>
      </c>
      <c r="J84" s="196">
        <f>IF(ISNUMBER(SEARCH('Карта учёта'!$B$18,Расходка[[#This Row],[Наименование расходного материала]])),MAX($J$1:J83)+1,0)</f>
        <v>0</v>
      </c>
      <c r="K84" s="196">
        <f>IF(ISNUMBER(SEARCH('Карта учёта'!$B$19,Расходка[[#This Row],[Наименование расходного материала]])),MAX($K$1:K83)+1,0)</f>
        <v>0</v>
      </c>
      <c r="L84" s="196">
        <f>IF(ISNUMBER(SEARCH('Карта учёта'!$B$20,Расходка[[#This Row],[Наименование расходного материала]])),MAX($L$1:L83)+1,0)</f>
        <v>0</v>
      </c>
      <c r="M84" s="196">
        <f>IF(ISNUMBER(SEARCH('Карта учёта'!$B$21,Расходка[[#This Row],[Наименование расходного материала]])),MAX($M$1:M83)+1,0)</f>
        <v>0</v>
      </c>
      <c r="N84" s="196">
        <f>IF(ISNUMBER(SEARCH('Карта учёта'!$B$22,Расходка[[#This Row],[Наименование расходного материала]])),MAX($N$1:N83)+1,0)</f>
        <v>0</v>
      </c>
      <c r="O84" s="196">
        <f>IF(ISNUMBER(SEARCH('Карта учёта'!$B$23,Расходка[[#This Row],[Наименование расходного материала]])),MAX($O$1:O83)+1,0)</f>
        <v>0</v>
      </c>
      <c r="P84" s="196">
        <f>IF(ISNUMBER(SEARCH('Карта учёта'!$B$24,Расходка[[#This Row],[Наименование расходного материала]])),MAX($P$1:P83)+1,0)</f>
        <v>0</v>
      </c>
      <c r="Q84" s="196">
        <f>IF(ISNUMBER(SEARCH('Карта учёта'!$B$25,Расходка[[#This Row],[Наименование расходного материала]])),MAX($Q$1:Q83)+1,0)</f>
        <v>0</v>
      </c>
      <c r="R84" s="197" t="str">
        <f>IFERROR(INDEX(Расходка[Наименование расходного материала],MATCH(Расходка[[#This Row],[№]],Поиск_расходки[Индекс1],0)),"")</f>
        <v/>
      </c>
      <c r="S84" s="197" t="str">
        <f>IFERROR(INDEX(Расходка[Наименование расходного материала],MATCH(Расходка[[#This Row],[№]],Поиск_расходки[Индекс2],0)),"")</f>
        <v/>
      </c>
      <c r="T84" s="197" t="str">
        <f>IFERROR(INDEX(Расходка[Наименование расходного материала],MATCH(Расходка[[#This Row],[№]],Поиск_расходки[Индекс3],0)),"")</f>
        <v/>
      </c>
      <c r="U84" s="197" t="str">
        <f>IFERROR(INDEX(Расходка[Наименование расходного материала],MATCH(Расходка[[#This Row],[№]],Поиск_расходки[Индекс4],0)),"")</f>
        <v/>
      </c>
      <c r="V84" s="197" t="str">
        <f>IFERROR(INDEX(Расходка[Наименование расходного материала],MATCH(Расходка[[#This Row],[№]],Поиск_расходки[Индекс5],0)),"")</f>
        <v/>
      </c>
      <c r="W84" s="197" t="str">
        <f>IFERROR(INDEX(Расходка[Наименование расходного материала],MATCH(Расходка[[#This Row],[№]],Поиск_расходки[Индекс6],0)),"")</f>
        <v/>
      </c>
      <c r="X84" s="197" t="str">
        <f>IFERROR(INDEX(Расходка[Наименование расходного материала],MATCH(Расходка[[#This Row],[№]],Поиск_расходки[Индекс7],0)),"")</f>
        <v/>
      </c>
      <c r="Y84" s="197" t="str">
        <f>IFERROR(INDEX(Расходка[Наименование расходного материала],MATCH(Расходка[[#This Row],[№]],Поиск_расходки[Индекс8],0)),"")</f>
        <v/>
      </c>
      <c r="Z84" s="197" t="str">
        <f>IFERROR(INDEX(Расходка[Наименование расходного материала],MATCH(Расходка[[#This Row],[№]],Поиск_расходки[Индекс9],0)),"")</f>
        <v/>
      </c>
      <c r="AA84" s="197" t="str">
        <f>IFERROR(INDEX(Расходка[Наименование расходного материала],MATCH(Расходка[[#This Row],[№]],Поиск_расходки[Индекс10],0)),"")</f>
        <v/>
      </c>
      <c r="AB84" s="197" t="str">
        <f>IFERROR(INDEX(Расходка[Наименование расходного материала],MATCH(Расходка[[#This Row],[№]],Поиск_расходки[Индекс11],0)),"")</f>
        <v/>
      </c>
      <c r="AC84" s="197" t="str">
        <f>IFERROR(INDEX(Расходка[Наименование расходного материала],MATCH(Расходка[[#This Row],[№]],Поиск_расходки[Индекс12],0)),"")</f>
        <v/>
      </c>
      <c r="AD84" s="197" t="str">
        <f>IFERROR(INDEX(Расходка[Наименование расходного материала],MATCH(Расходка[[#This Row],[№]],Поиск_расходки[Индекс13],0)),"")</f>
        <v/>
      </c>
      <c r="AF84" s="4" t="s">
        <v>6</v>
      </c>
      <c r="AG84" s="4" t="s">
        <v>423</v>
      </c>
    </row>
    <row r="85" spans="5:33">
      <c r="E85" s="196">
        <f>IF(ISNUMBER(SEARCH('Карта учёта'!$B$13,Расходка[[#This Row],[Наименование расходного материала]])),MAX($E$1:E84)+1,0)</f>
        <v>0</v>
      </c>
      <c r="F85" s="196">
        <f>IF(ISNUMBER(SEARCH('Карта учёта'!$B$14,Расходка[[#This Row],[Наименование расходного материала]])),MAX($F$1:F84)+1,0)</f>
        <v>0</v>
      </c>
      <c r="G85" s="196">
        <f>IF(ISNUMBER(SEARCH('Карта учёта'!$B$15,Расходка[[#This Row],[Наименование расходного материала]])),MAX($G$1:G84)+1,0)</f>
        <v>0</v>
      </c>
      <c r="H85" s="196">
        <f>IF(ISNUMBER(SEARCH('Карта учёта'!$B$16,Расходка[[#This Row],[Наименование расходного материала]])),MAX($H$1:H84)+1,0)</f>
        <v>0</v>
      </c>
      <c r="I85" s="196">
        <f>IF(ISNUMBER(SEARCH('Карта учёта'!$B$17,Расходка[[#This Row],[Наименование расходного материала]])),MAX($I$1:I84)+1,0)</f>
        <v>0</v>
      </c>
      <c r="J85" s="196">
        <f>IF(ISNUMBER(SEARCH('Карта учёта'!$B$18,Расходка[[#This Row],[Наименование расходного материала]])),MAX($J$1:J84)+1,0)</f>
        <v>0</v>
      </c>
      <c r="K85" s="196">
        <f>IF(ISNUMBER(SEARCH('Карта учёта'!$B$19,Расходка[[#This Row],[Наименование расходного материала]])),MAX($K$1:K84)+1,0)</f>
        <v>0</v>
      </c>
      <c r="L85" s="196">
        <f>IF(ISNUMBER(SEARCH('Карта учёта'!$B$20,Расходка[[#This Row],[Наименование расходного материала]])),MAX($L$1:L84)+1,0)</f>
        <v>0</v>
      </c>
      <c r="M85" s="196">
        <f>IF(ISNUMBER(SEARCH('Карта учёта'!$B$21,Расходка[[#This Row],[Наименование расходного материала]])),MAX($M$1:M84)+1,0)</f>
        <v>0</v>
      </c>
      <c r="N85" s="196">
        <f>IF(ISNUMBER(SEARCH('Карта учёта'!$B$22,Расходка[[#This Row],[Наименование расходного материала]])),MAX($N$1:N84)+1,0)</f>
        <v>0</v>
      </c>
      <c r="O85" s="196">
        <f>IF(ISNUMBER(SEARCH('Карта учёта'!$B$23,Расходка[[#This Row],[Наименование расходного материала]])),MAX($O$1:O84)+1,0)</f>
        <v>0</v>
      </c>
      <c r="P85" s="196">
        <f>IF(ISNUMBER(SEARCH('Карта учёта'!$B$24,Расходка[[#This Row],[Наименование расходного материала]])),MAX($P$1:P84)+1,0)</f>
        <v>0</v>
      </c>
      <c r="Q85" s="196">
        <f>IF(ISNUMBER(SEARCH('Карта учёта'!$B$25,Расходка[[#This Row],[Наименование расходного материала]])),MAX($Q$1:Q84)+1,0)</f>
        <v>0</v>
      </c>
      <c r="R85" s="197" t="str">
        <f>IFERROR(INDEX(Расходка[Наименование расходного материала],MATCH(Расходка[[#This Row],[№]],Поиск_расходки[Индекс1],0)),"")</f>
        <v/>
      </c>
      <c r="S85" s="197" t="str">
        <f>IFERROR(INDEX(Расходка[Наименование расходного материала],MATCH(Расходка[[#This Row],[№]],Поиск_расходки[Индекс2],0)),"")</f>
        <v/>
      </c>
      <c r="T85" s="197" t="str">
        <f>IFERROR(INDEX(Расходка[Наименование расходного материала],MATCH(Расходка[[#This Row],[№]],Поиск_расходки[Индекс3],0)),"")</f>
        <v/>
      </c>
      <c r="U85" s="197" t="str">
        <f>IFERROR(INDEX(Расходка[Наименование расходного материала],MATCH(Расходка[[#This Row],[№]],Поиск_расходки[Индекс4],0)),"")</f>
        <v/>
      </c>
      <c r="V85" s="197" t="str">
        <f>IFERROR(INDEX(Расходка[Наименование расходного материала],MATCH(Расходка[[#This Row],[№]],Поиск_расходки[Индекс5],0)),"")</f>
        <v/>
      </c>
      <c r="W85" s="197" t="str">
        <f>IFERROR(INDEX(Расходка[Наименование расходного материала],MATCH(Расходка[[#This Row],[№]],Поиск_расходки[Индекс6],0)),"")</f>
        <v/>
      </c>
      <c r="X85" s="197" t="str">
        <f>IFERROR(INDEX(Расходка[Наименование расходного материала],MATCH(Расходка[[#This Row],[№]],Поиск_расходки[Индекс7],0)),"")</f>
        <v/>
      </c>
      <c r="Y85" s="197" t="str">
        <f>IFERROR(INDEX(Расходка[Наименование расходного материала],MATCH(Расходка[[#This Row],[№]],Поиск_расходки[Индекс8],0)),"")</f>
        <v/>
      </c>
      <c r="Z85" s="197" t="str">
        <f>IFERROR(INDEX(Расходка[Наименование расходного материала],MATCH(Расходка[[#This Row],[№]],Поиск_расходки[Индекс9],0)),"")</f>
        <v/>
      </c>
      <c r="AA85" s="197" t="str">
        <f>IFERROR(INDEX(Расходка[Наименование расходного материала],MATCH(Расходка[[#This Row],[№]],Поиск_расходки[Индекс10],0)),"")</f>
        <v/>
      </c>
      <c r="AB85" s="197" t="str">
        <f>IFERROR(INDEX(Расходка[Наименование расходного материала],MATCH(Расходка[[#This Row],[№]],Поиск_расходки[Индекс11],0)),"")</f>
        <v/>
      </c>
      <c r="AC85" s="197" t="str">
        <f>IFERROR(INDEX(Расходка[Наименование расходного материала],MATCH(Расходка[[#This Row],[№]],Поиск_расходки[Индекс12],0)),"")</f>
        <v/>
      </c>
      <c r="AD85" s="197" t="str">
        <f>IFERROR(INDEX(Расходка[Наименование расходного материала],MATCH(Расходка[[#This Row],[№]],Поиск_расходки[Индекс13],0)),"")</f>
        <v/>
      </c>
      <c r="AF85" s="4" t="s">
        <v>6</v>
      </c>
      <c r="AG85" s="4" t="s">
        <v>424</v>
      </c>
    </row>
    <row r="86" spans="5:33">
      <c r="E86" s="196">
        <f>IF(ISNUMBER(SEARCH('Карта учёта'!$B$13,Расходка[[#This Row],[Наименование расходного материала]])),MAX($E$1:E85)+1,0)</f>
        <v>0</v>
      </c>
      <c r="F86" s="196">
        <f>IF(ISNUMBER(SEARCH('Карта учёта'!$B$14,Расходка[[#This Row],[Наименование расходного материала]])),MAX($F$1:F85)+1,0)</f>
        <v>0</v>
      </c>
      <c r="G86" s="196">
        <f>IF(ISNUMBER(SEARCH('Карта учёта'!$B$15,Расходка[[#This Row],[Наименование расходного материала]])),MAX($G$1:G85)+1,0)</f>
        <v>0</v>
      </c>
      <c r="H86" s="196">
        <f>IF(ISNUMBER(SEARCH('Карта учёта'!$B$16,Расходка[[#This Row],[Наименование расходного материала]])),MAX($H$1:H85)+1,0)</f>
        <v>0</v>
      </c>
      <c r="I86" s="196">
        <f>IF(ISNUMBER(SEARCH('Карта учёта'!$B$17,Расходка[[#This Row],[Наименование расходного материала]])),MAX($I$1:I85)+1,0)</f>
        <v>0</v>
      </c>
      <c r="J86" s="196">
        <f>IF(ISNUMBER(SEARCH('Карта учёта'!$B$18,Расходка[[#This Row],[Наименование расходного материала]])),MAX($J$1:J85)+1,0)</f>
        <v>0</v>
      </c>
      <c r="K86" s="196">
        <f>IF(ISNUMBER(SEARCH('Карта учёта'!$B$19,Расходка[[#This Row],[Наименование расходного материала]])),MAX($K$1:K85)+1,0)</f>
        <v>0</v>
      </c>
      <c r="L86" s="196">
        <f>IF(ISNUMBER(SEARCH('Карта учёта'!$B$20,Расходка[[#This Row],[Наименование расходного материала]])),MAX($L$1:L85)+1,0)</f>
        <v>0</v>
      </c>
      <c r="M86" s="196">
        <f>IF(ISNUMBER(SEARCH('Карта учёта'!$B$21,Расходка[[#This Row],[Наименование расходного материала]])),MAX($M$1:M85)+1,0)</f>
        <v>0</v>
      </c>
      <c r="N86" s="196">
        <f>IF(ISNUMBER(SEARCH('Карта учёта'!$B$22,Расходка[[#This Row],[Наименование расходного материала]])),MAX($N$1:N85)+1,0)</f>
        <v>0</v>
      </c>
      <c r="O86" s="196">
        <f>IF(ISNUMBER(SEARCH('Карта учёта'!$B$23,Расходка[[#This Row],[Наименование расходного материала]])),MAX($O$1:O85)+1,0)</f>
        <v>0</v>
      </c>
      <c r="P86" s="196">
        <f>IF(ISNUMBER(SEARCH('Карта учёта'!$B$24,Расходка[[#This Row],[Наименование расходного материала]])),MAX($P$1:P85)+1,0)</f>
        <v>0</v>
      </c>
      <c r="Q86" s="196">
        <f>IF(ISNUMBER(SEARCH('Карта учёта'!$B$25,Расходка[[#This Row],[Наименование расходного материала]])),MAX($Q$1:Q85)+1,0)</f>
        <v>0</v>
      </c>
      <c r="R86" s="197" t="str">
        <f>IFERROR(INDEX(Расходка[Наименование расходного материала],MATCH(Расходка[[#This Row],[№]],Поиск_расходки[Индекс1],0)),"")</f>
        <v/>
      </c>
      <c r="S86" s="197" t="str">
        <f>IFERROR(INDEX(Расходка[Наименование расходного материала],MATCH(Расходка[[#This Row],[№]],Поиск_расходки[Индекс2],0)),"")</f>
        <v/>
      </c>
      <c r="T86" s="197" t="str">
        <f>IFERROR(INDEX(Расходка[Наименование расходного материала],MATCH(Расходка[[#This Row],[№]],Поиск_расходки[Индекс3],0)),"")</f>
        <v/>
      </c>
      <c r="U86" s="197" t="str">
        <f>IFERROR(INDEX(Расходка[Наименование расходного материала],MATCH(Расходка[[#This Row],[№]],Поиск_расходки[Индекс4],0)),"")</f>
        <v/>
      </c>
      <c r="V86" s="197" t="str">
        <f>IFERROR(INDEX(Расходка[Наименование расходного материала],MATCH(Расходка[[#This Row],[№]],Поиск_расходки[Индекс5],0)),"")</f>
        <v/>
      </c>
      <c r="W86" s="197" t="str">
        <f>IFERROR(INDEX(Расходка[Наименование расходного материала],MATCH(Расходка[[#This Row],[№]],Поиск_расходки[Индекс6],0)),"")</f>
        <v/>
      </c>
      <c r="X86" s="197" t="str">
        <f>IFERROR(INDEX(Расходка[Наименование расходного материала],MATCH(Расходка[[#This Row],[№]],Поиск_расходки[Индекс7],0)),"")</f>
        <v/>
      </c>
      <c r="Y86" s="197" t="str">
        <f>IFERROR(INDEX(Расходка[Наименование расходного материала],MATCH(Расходка[[#This Row],[№]],Поиск_расходки[Индекс8],0)),"")</f>
        <v/>
      </c>
      <c r="Z86" s="197" t="str">
        <f>IFERROR(INDEX(Расходка[Наименование расходного материала],MATCH(Расходка[[#This Row],[№]],Поиск_расходки[Индекс9],0)),"")</f>
        <v/>
      </c>
      <c r="AA86" s="197" t="str">
        <f>IFERROR(INDEX(Расходка[Наименование расходного материала],MATCH(Расходка[[#This Row],[№]],Поиск_расходки[Индекс10],0)),"")</f>
        <v/>
      </c>
      <c r="AB86" s="197" t="str">
        <f>IFERROR(INDEX(Расходка[Наименование расходного материала],MATCH(Расходка[[#This Row],[№]],Поиск_расходки[Индекс11],0)),"")</f>
        <v/>
      </c>
      <c r="AC86" s="197" t="str">
        <f>IFERROR(INDEX(Расходка[Наименование расходного материала],MATCH(Расходка[[#This Row],[№]],Поиск_расходки[Индекс12],0)),"")</f>
        <v/>
      </c>
      <c r="AD86" s="197" t="str">
        <f>IFERROR(INDEX(Расходка[Наименование расходного материала],MATCH(Расходка[[#This Row],[№]],Поиск_расходки[Индекс13],0)),"")</f>
        <v/>
      </c>
      <c r="AF86" s="4" t="s">
        <v>6</v>
      </c>
      <c r="AG86" s="4" t="s">
        <v>473</v>
      </c>
    </row>
    <row r="87" spans="5:33">
      <c r="AF87" s="4" t="s">
        <v>6</v>
      </c>
      <c r="AG87" s="4" t="s">
        <v>474</v>
      </c>
    </row>
    <row r="88" spans="5:33">
      <c r="AF88" s="4" t="s">
        <v>6</v>
      </c>
      <c r="AG88" s="4" t="s">
        <v>475</v>
      </c>
    </row>
    <row r="89" spans="5:33">
      <c r="AF89" s="4" t="s">
        <v>6</v>
      </c>
      <c r="AG89" s="4" t="s">
        <v>476</v>
      </c>
    </row>
    <row r="90" spans="5:33">
      <c r="AF90" s="4" t="s">
        <v>6</v>
      </c>
      <c r="AG90" s="4" t="s">
        <v>477</v>
      </c>
    </row>
    <row r="91" spans="5:33">
      <c r="AF91" s="4" t="s">
        <v>6</v>
      </c>
      <c r="AG91" s="4" t="s">
        <v>478</v>
      </c>
    </row>
    <row r="92" spans="5:33">
      <c r="AF92" s="4" t="s">
        <v>6</v>
      </c>
      <c r="AG92" s="4" t="s">
        <v>479</v>
      </c>
    </row>
    <row r="93" spans="5:33">
      <c r="AF93" s="4" t="s">
        <v>6</v>
      </c>
      <c r="AG93" s="4" t="s">
        <v>480</v>
      </c>
    </row>
    <row r="94" spans="5:33">
      <c r="AF94" s="4" t="s">
        <v>6</v>
      </c>
      <c r="AG94" s="4" t="s">
        <v>427</v>
      </c>
    </row>
    <row r="95" spans="5:33">
      <c r="AF95" s="4" t="s">
        <v>6</v>
      </c>
      <c r="AG95" s="4" t="s">
        <v>428</v>
      </c>
    </row>
    <row r="96" spans="5:33">
      <c r="AF96" s="4" t="s">
        <v>6</v>
      </c>
      <c r="AG96" s="4" t="s">
        <v>481</v>
      </c>
    </row>
    <row r="97" spans="32:33">
      <c r="AF97" s="4" t="s">
        <v>6</v>
      </c>
      <c r="AG97" s="4" t="s">
        <v>482</v>
      </c>
    </row>
  </sheetData>
  <sheetProtection sheet="1" objects="1" scenarios="1" formatCells="0" formatColumns="0"/>
  <phoneticPr fontId="14" type="noConversion"/>
  <dataValidations count="1">
    <dataValidation type="list" allowBlank="1" showInputMessage="1" showErrorMessage="1" sqref="B2:B79">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201"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201"/>
    </row>
    <row r="20" spans="1:3">
      <c r="C20" s="201"/>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521</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522</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4"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0"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2025-02-05T21:41:14Z</cp:lastPrinted>
  <dcterms:created xsi:type="dcterms:W3CDTF">2015-06-05T18:19:34Z</dcterms:created>
  <dcterms:modified xsi:type="dcterms:W3CDTF">2025-02-05T21:44:46Z</dcterms:modified>
</cp:coreProperties>
</file>