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9040" windowHeight="15840"/>
  </bookViews>
  <sheets>
    <sheet name="КАГ" sheetId="6" r:id="rId1"/>
    <sheet name="ЧКВ" sheetId="9" r:id="rId2"/>
    <sheet name="КАГ to 1C" sheetId="11" r:id="rId3"/>
    <sheet name="Карта учёта" sheetId="3" r:id="rId4"/>
    <sheet name="Вмешательства" sheetId="4" r:id="rId5"/>
    <sheet name="Расходный материал" sheetId="1" r:id="rId6"/>
    <sheet name="Сотрудники" sheetId="5" r:id="rId7"/>
    <sheet name="Остальное" sheetId="10" r:id="rId8"/>
  </sheets>
  <definedNames>
    <definedName name="_xlnm._FilterDatabase" localSheetId="0" hidden="1">КАГ!#REF!</definedName>
    <definedName name="_xlnm._FilterDatabase" localSheetId="3"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'КАГ to 1C'!$A$3</definedName>
    <definedName name="_xlnm.Print_Area" localSheetId="3">'Карта учёта'!$A$2:$D$40</definedName>
    <definedName name="_xlnm.Print_Area" localSheetId="1">ЧКВ!$A$1:$H$55</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3" i="9" l="1"/>
  <c r="A14" i="1" l="1"/>
  <c r="A13" i="1" l="1"/>
  <c r="E79" i="1" l="1"/>
  <c r="E80" i="1"/>
  <c r="E81" i="1"/>
  <c r="E82" i="1"/>
  <c r="E83" i="1"/>
  <c r="E84" i="1"/>
  <c r="E85" i="1"/>
  <c r="E86" i="1"/>
  <c r="F82" i="1"/>
  <c r="F83" i="1"/>
  <c r="F84" i="1"/>
  <c r="F85" i="1"/>
  <c r="F86" i="1"/>
  <c r="G82" i="1"/>
  <c r="G83" i="1"/>
  <c r="G84" i="1"/>
  <c r="G85" i="1"/>
  <c r="G86" i="1"/>
  <c r="H82" i="1"/>
  <c r="H83" i="1"/>
  <c r="H84" i="1"/>
  <c r="H85" i="1"/>
  <c r="H86" i="1"/>
  <c r="I82" i="1"/>
  <c r="I83" i="1"/>
  <c r="I84" i="1"/>
  <c r="I85" i="1"/>
  <c r="I86" i="1"/>
  <c r="J82" i="1"/>
  <c r="J83" i="1"/>
  <c r="J84" i="1"/>
  <c r="J85" i="1"/>
  <c r="J86" i="1"/>
  <c r="K82" i="1"/>
  <c r="K83" i="1"/>
  <c r="K84" i="1"/>
  <c r="K85" i="1"/>
  <c r="K86" i="1"/>
  <c r="L82" i="1"/>
  <c r="L83" i="1"/>
  <c r="L84" i="1"/>
  <c r="L85" i="1"/>
  <c r="L86" i="1"/>
  <c r="M82" i="1"/>
  <c r="M83" i="1"/>
  <c r="M84" i="1"/>
  <c r="M85" i="1"/>
  <c r="M86" i="1"/>
  <c r="N82" i="1"/>
  <c r="N83" i="1"/>
  <c r="N84" i="1"/>
  <c r="N85" i="1"/>
  <c r="N86" i="1"/>
  <c r="O82" i="1"/>
  <c r="O83" i="1"/>
  <c r="O84" i="1"/>
  <c r="O85" i="1"/>
  <c r="O86" i="1"/>
  <c r="P82" i="1"/>
  <c r="P83" i="1"/>
  <c r="P84" i="1"/>
  <c r="P85" i="1"/>
  <c r="P86" i="1"/>
  <c r="Q82" i="1"/>
  <c r="Q83" i="1"/>
  <c r="Q84" i="1"/>
  <c r="Q85" i="1"/>
  <c r="Q86" i="1"/>
  <c r="R82" i="1"/>
  <c r="R83" i="1"/>
  <c r="R84" i="1"/>
  <c r="R85" i="1"/>
  <c r="R86" i="1"/>
  <c r="S82" i="1"/>
  <c r="S83" i="1"/>
  <c r="S84" i="1"/>
  <c r="S85" i="1"/>
  <c r="S86" i="1"/>
  <c r="T82" i="1"/>
  <c r="T83" i="1"/>
  <c r="T84" i="1"/>
  <c r="T85" i="1"/>
  <c r="T86" i="1"/>
  <c r="U82" i="1"/>
  <c r="U83" i="1"/>
  <c r="U84" i="1"/>
  <c r="U85" i="1"/>
  <c r="U86" i="1"/>
  <c r="V82" i="1"/>
  <c r="V83" i="1"/>
  <c r="V84" i="1"/>
  <c r="V85" i="1"/>
  <c r="V86" i="1"/>
  <c r="W82" i="1"/>
  <c r="W83" i="1"/>
  <c r="W84" i="1"/>
  <c r="W85" i="1"/>
  <c r="W86" i="1"/>
  <c r="X82" i="1"/>
  <c r="X83" i="1"/>
  <c r="X84" i="1"/>
  <c r="X85" i="1"/>
  <c r="X86" i="1"/>
  <c r="Y82" i="1"/>
  <c r="Y83" i="1"/>
  <c r="Y84" i="1"/>
  <c r="Y85" i="1"/>
  <c r="Y86" i="1"/>
  <c r="Z82" i="1"/>
  <c r="Z83" i="1"/>
  <c r="Z84" i="1"/>
  <c r="Z85" i="1"/>
  <c r="Z86" i="1"/>
  <c r="AA82" i="1"/>
  <c r="AA83" i="1"/>
  <c r="AA84" i="1"/>
  <c r="AA85" i="1"/>
  <c r="AA86" i="1"/>
  <c r="AB82" i="1"/>
  <c r="AB83" i="1"/>
  <c r="AB84" i="1"/>
  <c r="AB85" i="1"/>
  <c r="AB86" i="1"/>
  <c r="AC82" i="1"/>
  <c r="AC83" i="1"/>
  <c r="AC84" i="1"/>
  <c r="AC85" i="1"/>
  <c r="AC86" i="1"/>
  <c r="AD82" i="1"/>
  <c r="AD83" i="1"/>
  <c r="AD84" i="1"/>
  <c r="AD85" i="1"/>
  <c r="AD86" i="1"/>
  <c r="A55" i="1"/>
  <c r="D42" i="6" l="1"/>
  <c r="E38" i="9"/>
  <c r="A5" i="4" l="1"/>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 i="4"/>
  <c r="A4" i="4"/>
  <c r="A2" i="4"/>
  <c r="A60" i="1" l="1"/>
  <c r="B13" i="9" l="1"/>
  <c r="A57" i="1" l="1"/>
  <c r="A56" i="1"/>
  <c r="A3" i="1"/>
  <c r="A4" i="1"/>
  <c r="A5" i="1"/>
  <c r="A6" i="1"/>
  <c r="A7" i="1"/>
  <c r="A8" i="1"/>
  <c r="A9" i="1"/>
  <c r="A10" i="1"/>
  <c r="A11" i="1"/>
  <c r="A12"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8" i="1"/>
  <c r="A59" i="1"/>
  <c r="A61" i="1"/>
  <c r="A62" i="1"/>
  <c r="A63" i="1"/>
  <c r="A64" i="1"/>
  <c r="A65" i="1"/>
  <c r="A66" i="1"/>
  <c r="A67" i="1"/>
  <c r="A68" i="1"/>
  <c r="A69" i="1"/>
  <c r="A70" i="1"/>
  <c r="A71" i="1"/>
  <c r="A72" i="1"/>
  <c r="A73" i="1"/>
  <c r="A74" i="1"/>
  <c r="A75" i="1"/>
  <c r="A76" i="1"/>
  <c r="A77" i="1"/>
  <c r="A78" i="1"/>
  <c r="A79" i="1"/>
  <c r="A80" i="1"/>
  <c r="A81" i="1"/>
  <c r="A2" i="1"/>
  <c r="A1" i="11" l="1"/>
  <c r="A3" i="11"/>
  <c r="A18" i="3" l="1"/>
  <c r="C15" i="5" l="1"/>
  <c r="B15" i="9" l="1"/>
  <c r="E71" i="1" l="1"/>
  <c r="E74" i="1"/>
  <c r="E75" i="1"/>
  <c r="E76" i="1"/>
  <c r="E77" i="1"/>
  <c r="E78" i="1"/>
  <c r="C16" i="9" l="1"/>
  <c r="E69" i="1" l="1"/>
  <c r="E70" i="1"/>
  <c r="H6" i="4" l="1"/>
  <c r="I6" i="4"/>
  <c r="J6" i="4"/>
  <c r="K6" i="4"/>
  <c r="L6" i="4"/>
  <c r="M6" i="4"/>
  <c r="N6" i="4"/>
  <c r="O6" i="4"/>
  <c r="P6" i="4"/>
  <c r="Q6" i="4"/>
  <c r="R6" i="4"/>
  <c r="S6" i="4"/>
  <c r="T6" i="4"/>
  <c r="H7" i="4"/>
  <c r="I7" i="4"/>
  <c r="J7" i="4"/>
  <c r="K7" i="4"/>
  <c r="L7" i="4"/>
  <c r="M7" i="4"/>
  <c r="N7" i="4"/>
  <c r="O7" i="4"/>
  <c r="P7" i="4"/>
  <c r="Q7" i="4"/>
  <c r="R7" i="4"/>
  <c r="S7" i="4"/>
  <c r="T7" i="4"/>
  <c r="H8" i="4"/>
  <c r="I8" i="4"/>
  <c r="J8" i="4"/>
  <c r="K8" i="4"/>
  <c r="L8" i="4"/>
  <c r="M8" i="4"/>
  <c r="N8" i="4"/>
  <c r="O8" i="4"/>
  <c r="P8" i="4"/>
  <c r="Q8" i="4"/>
  <c r="R8" i="4"/>
  <c r="S8" i="4"/>
  <c r="T8" i="4"/>
  <c r="H9" i="4"/>
  <c r="I9" i="4"/>
  <c r="J9" i="4"/>
  <c r="K9" i="4"/>
  <c r="L9" i="4"/>
  <c r="M9" i="4"/>
  <c r="N9" i="4"/>
  <c r="O9" i="4"/>
  <c r="P9" i="4"/>
  <c r="Q9" i="4"/>
  <c r="R9" i="4"/>
  <c r="S9" i="4"/>
  <c r="T9" i="4"/>
  <c r="C11" i="9"/>
  <c r="H17" i="6" l="1"/>
  <c r="H21" i="9" l="1"/>
  <c r="C4" i="5" l="1"/>
  <c r="C18" i="5" l="1"/>
  <c r="A16" i="3" l="1"/>
  <c r="B5" i="3" l="1"/>
  <c r="B16" i="9" l="1"/>
  <c r="G17" i="9" l="1"/>
  <c r="Q2" i="1"/>
  <c r="P2" i="1"/>
  <c r="O2" i="1"/>
  <c r="N2" i="1"/>
  <c r="M2" i="1"/>
  <c r="L2" i="1"/>
  <c r="K2" i="1"/>
  <c r="I2" i="1"/>
  <c r="J2" i="1"/>
  <c r="G2" i="1"/>
  <c r="H2" i="1"/>
  <c r="F2" i="1"/>
  <c r="E2" i="1"/>
  <c r="A5" i="3"/>
  <c r="B6" i="3"/>
  <c r="G13" i="9"/>
  <c r="G51" i="9" s="1"/>
  <c r="G14" i="9"/>
  <c r="G53" i="9"/>
  <c r="H14" i="9"/>
  <c r="H15" i="9"/>
  <c r="H16" i="9"/>
  <c r="H17" i="9"/>
  <c r="G16" i="9"/>
  <c r="G15" i="9"/>
  <c r="G53" i="6"/>
  <c r="B22" i="9"/>
  <c r="A22" i="9"/>
  <c r="B12" i="9"/>
  <c r="B17" i="9"/>
  <c r="B19" i="9"/>
  <c r="B20" i="9"/>
  <c r="B21" i="9"/>
  <c r="D37" i="6"/>
  <c r="G51" i="6"/>
  <c r="A8" i="9"/>
  <c r="D10" i="3"/>
  <c r="B2" i="3" s="1"/>
  <c r="D9" i="3"/>
  <c r="D8" i="3"/>
  <c r="D7" i="3"/>
  <c r="D5" i="3"/>
  <c r="D4" i="3"/>
  <c r="AK7" i="1"/>
  <c r="AK8" i="1"/>
  <c r="AK3" i="1"/>
  <c r="AK4" i="1"/>
  <c r="AK5" i="1"/>
  <c r="AK6" i="1"/>
  <c r="AK2" i="1"/>
  <c r="B13" i="6"/>
  <c r="B18" i="9" s="1"/>
  <c r="A7" i="6"/>
  <c r="A25" i="3"/>
  <c r="A26" i="3"/>
  <c r="A27" i="3"/>
  <c r="A13" i="3"/>
  <c r="A14" i="3"/>
  <c r="A15" i="3"/>
  <c r="A17" i="3"/>
  <c r="A19" i="3"/>
  <c r="A20" i="3"/>
  <c r="A21" i="3"/>
  <c r="A22" i="3"/>
  <c r="A23" i="3"/>
  <c r="A24" i="3"/>
  <c r="C13" i="5"/>
  <c r="C3" i="5"/>
  <c r="C5" i="5"/>
  <c r="C6" i="5"/>
  <c r="C7" i="5"/>
  <c r="C8" i="5"/>
  <c r="C9" i="5"/>
  <c r="C10" i="5"/>
  <c r="C11" i="5"/>
  <c r="C12" i="5"/>
  <c r="C14" i="5"/>
  <c r="C16" i="5"/>
  <c r="C17" i="5"/>
  <c r="C2" i="5"/>
  <c r="A10" i="9" l="1"/>
  <c r="A9" i="3" s="1"/>
  <c r="A9" i="9"/>
  <c r="A8" i="3" s="1"/>
  <c r="G22" i="9"/>
  <c r="E3" i="1"/>
  <c r="E4" i="1" s="1"/>
  <c r="Q3" i="1"/>
  <c r="P3" i="1"/>
  <c r="P4" i="1" s="1"/>
  <c r="O3" i="1"/>
  <c r="O4" i="1" s="1"/>
  <c r="H3" i="1"/>
  <c r="H4" i="1" s="1"/>
  <c r="I3" i="1"/>
  <c r="L3" i="1"/>
  <c r="L4" i="1" s="1"/>
  <c r="L5" i="1" s="1"/>
  <c r="N3" i="1"/>
  <c r="N4" i="1" s="1"/>
  <c r="N5" i="1" s="1"/>
  <c r="J3" i="1"/>
  <c r="D6" i="3"/>
  <c r="B37" i="3"/>
  <c r="K3" i="1"/>
  <c r="K4" i="1" s="1"/>
  <c r="M3" i="1"/>
  <c r="G3" i="1"/>
  <c r="G4" i="1" s="1"/>
  <c r="A6" i="3"/>
  <c r="F3" i="1"/>
  <c r="E5" i="1" l="1"/>
  <c r="P5" i="1"/>
  <c r="O5" i="1"/>
  <c r="Q4" i="1"/>
  <c r="I4" i="1"/>
  <c r="J4" i="1"/>
  <c r="H5" i="1"/>
  <c r="L6" i="1"/>
  <c r="N6" i="1"/>
  <c r="M4" i="1"/>
  <c r="K5" i="1"/>
  <c r="G5" i="1"/>
  <c r="F4" i="1"/>
  <c r="P6" i="1" l="1"/>
  <c r="Q5" i="1"/>
  <c r="E6" i="1"/>
  <c r="O6" i="1"/>
  <c r="I5" i="1"/>
  <c r="J5" i="1"/>
  <c r="N7" i="1"/>
  <c r="M5" i="1"/>
  <c r="F5" i="1"/>
  <c r="G6" i="1"/>
  <c r="H6" i="1"/>
  <c r="L7" i="1"/>
  <c r="K6" i="1"/>
  <c r="P7" i="1" l="1"/>
  <c r="O7" i="1"/>
  <c r="E7" i="1"/>
  <c r="Q6" i="1"/>
  <c r="J6" i="1"/>
  <c r="N8" i="1"/>
  <c r="F6" i="1"/>
  <c r="I6" i="1"/>
  <c r="G7" i="1"/>
  <c r="M6" i="1"/>
  <c r="H7" i="1"/>
  <c r="L8" i="1"/>
  <c r="K7" i="1"/>
  <c r="P8" i="1" l="1"/>
  <c r="O8" i="1"/>
  <c r="E8" i="1"/>
  <c r="E9" i="1" s="1"/>
  <c r="Q7" i="1"/>
  <c r="E10" i="1"/>
  <c r="J7" i="1"/>
  <c r="G8" i="1"/>
  <c r="N9" i="1"/>
  <c r="I7" i="1"/>
  <c r="F7" i="1"/>
  <c r="M7" i="1"/>
  <c r="H8" i="1"/>
  <c r="L9" i="1"/>
  <c r="K8" i="1"/>
  <c r="O9" i="1" l="1"/>
  <c r="O10" i="1" s="1"/>
  <c r="P9" i="1"/>
  <c r="Q8" i="1"/>
  <c r="J8" i="1"/>
  <c r="E11" i="1"/>
  <c r="E12" i="1" s="1"/>
  <c r="E13" i="1" s="1"/>
  <c r="E14" i="1" s="1"/>
  <c r="E15" i="1" s="1"/>
  <c r="M8" i="1"/>
  <c r="N10" i="1"/>
  <c r="I8" i="1"/>
  <c r="G9" i="1"/>
  <c r="H9" i="1"/>
  <c r="F8" i="1"/>
  <c r="K9" i="1"/>
  <c r="L10" i="1"/>
  <c r="Q9" i="1" l="1"/>
  <c r="Q10" i="1" s="1"/>
  <c r="Q11" i="1" s="1"/>
  <c r="Q12" i="1" s="1"/>
  <c r="Q13" i="1" s="1"/>
  <c r="O11" i="1"/>
  <c r="O12" i="1" s="1"/>
  <c r="O13" i="1" s="1"/>
  <c r="O14" i="1" s="1"/>
  <c r="O15" i="1" s="1"/>
  <c r="P10" i="1"/>
  <c r="G10" i="1"/>
  <c r="G11" i="1" s="1"/>
  <c r="I9" i="1"/>
  <c r="I10" i="1" s="1"/>
  <c r="I11" i="1" s="1"/>
  <c r="I12" i="1" s="1"/>
  <c r="J9" i="1"/>
  <c r="E16" i="1"/>
  <c r="E17" i="1" s="1"/>
  <c r="E18" i="1" s="1"/>
  <c r="E19" i="1" s="1"/>
  <c r="M9" i="1"/>
  <c r="M10" i="1" s="1"/>
  <c r="M11" i="1" s="1"/>
  <c r="M12" i="1" s="1"/>
  <c r="N11" i="1"/>
  <c r="F9" i="1"/>
  <c r="K10" i="1"/>
  <c r="K11" i="1" s="1"/>
  <c r="H10" i="1"/>
  <c r="H11" i="1" s="1"/>
  <c r="H12" i="1" s="1"/>
  <c r="H13" i="1" s="1"/>
  <c r="L11" i="1"/>
  <c r="L12" i="1" s="1"/>
  <c r="P11" i="1" l="1"/>
  <c r="O16" i="1"/>
  <c r="O17" i="1" s="1"/>
  <c r="O18" i="1" s="1"/>
  <c r="M13" i="1"/>
  <c r="M14" i="1" s="1"/>
  <c r="E20" i="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Q14" i="1"/>
  <c r="Q15" i="1" s="1"/>
  <c r="Q16" i="1" s="1"/>
  <c r="Q17" i="1" s="1"/>
  <c r="Q18" i="1" s="1"/>
  <c r="Q19" i="1" s="1"/>
  <c r="Q20" i="1" s="1"/>
  <c r="Q21" i="1" s="1"/>
  <c r="Q22" i="1" s="1"/>
  <c r="Q23" i="1" s="1"/>
  <c r="Q24" i="1" s="1"/>
  <c r="Q25" i="1" s="1"/>
  <c r="Q26" i="1" s="1"/>
  <c r="Q27" i="1" s="1"/>
  <c r="Q28" i="1" s="1"/>
  <c r="Q29" i="1" s="1"/>
  <c r="Q30" i="1" s="1"/>
  <c r="Q31" i="1" s="1"/>
  <c r="Q32" i="1" s="1"/>
  <c r="Q33" i="1" s="1"/>
  <c r="Q34" i="1" s="1"/>
  <c r="Q35" i="1" s="1"/>
  <c r="Q36" i="1" s="1"/>
  <c r="Q37" i="1" s="1"/>
  <c r="Q38" i="1" s="1"/>
  <c r="Q39" i="1" s="1"/>
  <c r="Q40" i="1" s="1"/>
  <c r="Q41" i="1" s="1"/>
  <c r="Q42" i="1" s="1"/>
  <c r="Q43" i="1" s="1"/>
  <c r="Q44" i="1" s="1"/>
  <c r="Q45" i="1" s="1"/>
  <c r="Q46" i="1" s="1"/>
  <c r="Q47" i="1" s="1"/>
  <c r="Q48" i="1" s="1"/>
  <c r="Q49" i="1" s="1"/>
  <c r="Q50" i="1" s="1"/>
  <c r="Q51" i="1" s="1"/>
  <c r="Q52" i="1" s="1"/>
  <c r="Q53" i="1" s="1"/>
  <c r="Q54" i="1" s="1"/>
  <c r="Q55" i="1" s="1"/>
  <c r="Q56" i="1" s="1"/>
  <c r="Q57" i="1" s="1"/>
  <c r="E60" i="1"/>
  <c r="E61" i="1" s="1"/>
  <c r="E62" i="1" s="1"/>
  <c r="F10" i="1"/>
  <c r="F11" i="1" s="1"/>
  <c r="F12" i="1" s="1"/>
  <c r="J10" i="1"/>
  <c r="J11" i="1" s="1"/>
  <c r="N12" i="1"/>
  <c r="N13" i="1" s="1"/>
  <c r="I13" i="1"/>
  <c r="I14" i="1" s="1"/>
  <c r="G12" i="1"/>
  <c r="G13" i="1" s="1"/>
  <c r="H14" i="1"/>
  <c r="H15" i="1" s="1"/>
  <c r="L13" i="1"/>
  <c r="L14" i="1" s="1"/>
  <c r="L15" i="1" s="1"/>
  <c r="K12" i="1"/>
  <c r="P12" i="1" l="1"/>
  <c r="P13" i="1" s="1"/>
  <c r="P14" i="1" s="1"/>
  <c r="O19" i="1"/>
  <c r="O20" i="1" s="1"/>
  <c r="O21" i="1" s="1"/>
  <c r="O22" i="1" s="1"/>
  <c r="O23" i="1" s="1"/>
  <c r="O24" i="1" s="1"/>
  <c r="O25" i="1" s="1"/>
  <c r="O26" i="1" s="1"/>
  <c r="O27" i="1" s="1"/>
  <c r="O28" i="1" s="1"/>
  <c r="O29" i="1" s="1"/>
  <c r="O30" i="1" s="1"/>
  <c r="O31" i="1" s="1"/>
  <c r="O32" i="1" s="1"/>
  <c r="O33" i="1" s="1"/>
  <c r="O34" i="1" s="1"/>
  <c r="O35" i="1" s="1"/>
  <c r="O36" i="1" s="1"/>
  <c r="O37" i="1" s="1"/>
  <c r="O38" i="1" s="1"/>
  <c r="O39" i="1" s="1"/>
  <c r="O40" i="1" s="1"/>
  <c r="O41" i="1" s="1"/>
  <c r="O42" i="1" s="1"/>
  <c r="O43" i="1" s="1"/>
  <c r="O44" i="1" s="1"/>
  <c r="O45" i="1" s="1"/>
  <c r="O46" i="1" s="1"/>
  <c r="O47" i="1" s="1"/>
  <c r="O48" i="1" s="1"/>
  <c r="O49" i="1" s="1"/>
  <c r="O50" i="1" s="1"/>
  <c r="F13" i="1"/>
  <c r="F14" i="1" s="1"/>
  <c r="F15" i="1" s="1"/>
  <c r="E63" i="1"/>
  <c r="M15" i="1"/>
  <c r="M16" i="1" s="1"/>
  <c r="M17" i="1" s="1"/>
  <c r="J12" i="1"/>
  <c r="J13" i="1" s="1"/>
  <c r="J14" i="1" s="1"/>
  <c r="J15" i="1" s="1"/>
  <c r="J16" i="1" s="1"/>
  <c r="Q58" i="1"/>
  <c r="N14" i="1"/>
  <c r="N15" i="1" s="1"/>
  <c r="I15" i="1"/>
  <c r="I16" i="1" s="1"/>
  <c r="I17" i="1" s="1"/>
  <c r="H16" i="1"/>
  <c r="H17" i="1" s="1"/>
  <c r="K13" i="1"/>
  <c r="K14" i="1" s="1"/>
  <c r="L16" i="1"/>
  <c r="G14" i="1"/>
  <c r="O51" i="1" l="1"/>
  <c r="P15" i="1"/>
  <c r="E64" i="1"/>
  <c r="F16" i="1"/>
  <c r="F17" i="1" s="1"/>
  <c r="F18" i="1" s="1"/>
  <c r="F19" i="1" s="1"/>
  <c r="N16" i="1"/>
  <c r="N17" i="1" s="1"/>
  <c r="J17" i="1"/>
  <c r="J18" i="1" s="1"/>
  <c r="Q59" i="1"/>
  <c r="Q60" i="1" s="1"/>
  <c r="H18" i="1"/>
  <c r="H19" i="1" s="1"/>
  <c r="H20" i="1" s="1"/>
  <c r="H21" i="1" s="1"/>
  <c r="H22" i="1" s="1"/>
  <c r="I18" i="1"/>
  <c r="I19" i="1" s="1"/>
  <c r="I20" i="1" s="1"/>
  <c r="I21" i="1" s="1"/>
  <c r="I22" i="1" s="1"/>
  <c r="I23" i="1" s="1"/>
  <c r="I24" i="1" s="1"/>
  <c r="M18" i="1"/>
  <c r="M19" i="1" s="1"/>
  <c r="M20" i="1" s="1"/>
  <c r="L17" i="1"/>
  <c r="K15" i="1"/>
  <c r="K16" i="1" s="1"/>
  <c r="K17" i="1" s="1"/>
  <c r="G15" i="1"/>
  <c r="O52" i="1" l="1"/>
  <c r="O53" i="1" s="1"/>
  <c r="O54" i="1" s="1"/>
  <c r="O55" i="1" s="1"/>
  <c r="P16" i="1"/>
  <c r="E65" i="1"/>
  <c r="N18" i="1"/>
  <c r="N19" i="1" s="1"/>
  <c r="J19" i="1"/>
  <c r="J20" i="1" s="1"/>
  <c r="J21" i="1" s="1"/>
  <c r="Q61" i="1"/>
  <c r="H23" i="1"/>
  <c r="K18" i="1"/>
  <c r="K19" i="1" s="1"/>
  <c r="K20" i="1" s="1"/>
  <c r="K21" i="1" s="1"/>
  <c r="K22" i="1" s="1"/>
  <c r="K23" i="1" s="1"/>
  <c r="K24" i="1" s="1"/>
  <c r="I25" i="1"/>
  <c r="I26" i="1" s="1"/>
  <c r="M21" i="1"/>
  <c r="L18" i="1"/>
  <c r="G16" i="1"/>
  <c r="G17" i="1" s="1"/>
  <c r="F20" i="1"/>
  <c r="O56" i="1" l="1"/>
  <c r="O57" i="1" s="1"/>
  <c r="P17" i="1"/>
  <c r="E66" i="1"/>
  <c r="Q62" i="1"/>
  <c r="J22" i="1"/>
  <c r="J23" i="1" s="1"/>
  <c r="J24" i="1" s="1"/>
  <c r="N20" i="1"/>
  <c r="N21" i="1" s="1"/>
  <c r="N22" i="1" s="1"/>
  <c r="K25" i="1"/>
  <c r="K26" i="1" s="1"/>
  <c r="K27" i="1" s="1"/>
  <c r="H24" i="1"/>
  <c r="G18" i="1"/>
  <c r="G19" i="1" s="1"/>
  <c r="G20" i="1" s="1"/>
  <c r="I27" i="1"/>
  <c r="M22" i="1"/>
  <c r="L19" i="1"/>
  <c r="L20" i="1" s="1"/>
  <c r="F21" i="1"/>
  <c r="O58" i="1" l="1"/>
  <c r="O59" i="1" s="1"/>
  <c r="P18" i="1"/>
  <c r="E67" i="1"/>
  <c r="Q63" i="1"/>
  <c r="Q64" i="1" s="1"/>
  <c r="Q65" i="1" s="1"/>
  <c r="Q66" i="1" s="1"/>
  <c r="K28" i="1"/>
  <c r="K29" i="1" s="1"/>
  <c r="G21" i="1"/>
  <c r="G22" i="1" s="1"/>
  <c r="G23" i="1" s="1"/>
  <c r="H25" i="1"/>
  <c r="I28" i="1"/>
  <c r="M23" i="1"/>
  <c r="J25" i="1"/>
  <c r="N23" i="1"/>
  <c r="L21" i="1"/>
  <c r="F22" i="1"/>
  <c r="O60" i="1" l="1"/>
  <c r="O61" i="1" s="1"/>
  <c r="O62" i="1" s="1"/>
  <c r="P19" i="1"/>
  <c r="E68" i="1"/>
  <c r="Q67" i="1"/>
  <c r="H26" i="1"/>
  <c r="H27" i="1" s="1"/>
  <c r="H28" i="1" s="1"/>
  <c r="H29" i="1" s="1"/>
  <c r="L22" i="1"/>
  <c r="L23" i="1" s="1"/>
  <c r="L24" i="1" s="1"/>
  <c r="M24" i="1"/>
  <c r="K30"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N24" i="1"/>
  <c r="F23" i="1"/>
  <c r="F24" i="1" s="1"/>
  <c r="E72" i="1" l="1"/>
  <c r="E73" i="1" s="1"/>
  <c r="R64" i="1" s="1"/>
  <c r="O63" i="1"/>
  <c r="P20" i="1"/>
  <c r="R62" i="1"/>
  <c r="R58" i="1"/>
  <c r="R63" i="1"/>
  <c r="R59" i="1"/>
  <c r="R56" i="1"/>
  <c r="R66" i="1"/>
  <c r="R68" i="1"/>
  <c r="R67" i="1"/>
  <c r="R65" i="1"/>
  <c r="R61" i="1"/>
  <c r="R70" i="1"/>
  <c r="Q68" i="1"/>
  <c r="L25" i="1"/>
  <c r="L26" i="1" s="1"/>
  <c r="J47" i="1"/>
  <c r="J48" i="1" s="1"/>
  <c r="H30" i="1"/>
  <c r="H31" i="1" s="1"/>
  <c r="H32" i="1" s="1"/>
  <c r="M25" i="1"/>
  <c r="M26" i="1" s="1"/>
  <c r="K31" i="1"/>
  <c r="I30" i="1"/>
  <c r="G25" i="1"/>
  <c r="G26" i="1" s="1"/>
  <c r="N25" i="1"/>
  <c r="F25" i="1"/>
  <c r="R57" i="1" l="1"/>
  <c r="R72" i="1"/>
  <c r="R60" i="1"/>
  <c r="R69" i="1"/>
  <c r="R71" i="1"/>
  <c r="R76" i="1"/>
  <c r="R78" i="1"/>
  <c r="R73" i="1"/>
  <c r="R80" i="1"/>
  <c r="R74" i="1"/>
  <c r="R75" i="1"/>
  <c r="R79" i="1"/>
  <c r="R77" i="1"/>
  <c r="R81" i="1"/>
  <c r="O64" i="1"/>
  <c r="P21" i="1"/>
  <c r="Q69" i="1"/>
  <c r="J49" i="1"/>
  <c r="L27" i="1"/>
  <c r="L28" i="1" s="1"/>
  <c r="L29" i="1" s="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M27" i="1"/>
  <c r="F26" i="1"/>
  <c r="F27" i="1" s="1"/>
  <c r="N26" i="1"/>
  <c r="AB2" i="1"/>
  <c r="O65" i="1" l="1"/>
  <c r="P22" i="1"/>
  <c r="Q70" i="1"/>
  <c r="J50" i="1"/>
  <c r="J51" i="1" s="1"/>
  <c r="H47" i="1"/>
  <c r="H48" i="1" s="1"/>
  <c r="I47" i="1"/>
  <c r="I48" i="1" s="1"/>
  <c r="I49" i="1" s="1"/>
  <c r="I50" i="1" s="1"/>
  <c r="K43" i="1"/>
  <c r="N27" i="1"/>
  <c r="M28" i="1"/>
  <c r="M29" i="1" s="1"/>
  <c r="L30" i="1"/>
  <c r="G29" i="1"/>
  <c r="F28" i="1"/>
  <c r="Q71" i="1" l="1"/>
  <c r="O66" i="1"/>
  <c r="O67" i="1" s="1"/>
  <c r="O68" i="1" s="1"/>
  <c r="P23" i="1"/>
  <c r="J52" i="1"/>
  <c r="J53" i="1" s="1"/>
  <c r="I51" i="1"/>
  <c r="H49" i="1"/>
  <c r="N28" i="1"/>
  <c r="K44" i="1"/>
  <c r="G30" i="1"/>
  <c r="G31" i="1" s="1"/>
  <c r="G32" i="1" s="1"/>
  <c r="G33" i="1" s="1"/>
  <c r="G34" i="1" s="1"/>
  <c r="G35" i="1" s="1"/>
  <c r="G36" i="1" s="1"/>
  <c r="G37" i="1" s="1"/>
  <c r="G38" i="1" s="1"/>
  <c r="G39" i="1" s="1"/>
  <c r="G40" i="1" s="1"/>
  <c r="G41" i="1" s="1"/>
  <c r="G42" i="1" s="1"/>
  <c r="L31" i="1"/>
  <c r="L32" i="1" s="1"/>
  <c r="M30" i="1"/>
  <c r="F29" i="1"/>
  <c r="F30" i="1" s="1"/>
  <c r="Q72" i="1" l="1"/>
  <c r="Q73" i="1" s="1"/>
  <c r="O69" i="1"/>
  <c r="O70" i="1" s="1"/>
  <c r="O71" i="1" s="1"/>
  <c r="O72" i="1" s="1"/>
  <c r="P24" i="1"/>
  <c r="N29" i="1"/>
  <c r="N30" i="1" s="1"/>
  <c r="J54" i="1"/>
  <c r="I52" i="1"/>
  <c r="H50" i="1"/>
  <c r="K45" i="1"/>
  <c r="G43" i="1"/>
  <c r="G44" i="1" s="1"/>
  <c r="G45" i="1" s="1"/>
  <c r="F31" i="1"/>
  <c r="F32" i="1" s="1"/>
  <c r="F33" i="1" s="1"/>
  <c r="F34" i="1" s="1"/>
  <c r="F35" i="1" s="1"/>
  <c r="F36" i="1" s="1"/>
  <c r="F37" i="1" s="1"/>
  <c r="F38" i="1" s="1"/>
  <c r="F39" i="1" s="1"/>
  <c r="F40" i="1" s="1"/>
  <c r="F41" i="1" s="1"/>
  <c r="F42" i="1" s="1"/>
  <c r="F43" i="1" s="1"/>
  <c r="F44" i="1" s="1"/>
  <c r="F45" i="1" s="1"/>
  <c r="L33" i="1"/>
  <c r="M31" i="1"/>
  <c r="Q74" i="1" l="1"/>
  <c r="Q75" i="1" s="1"/>
  <c r="O73" i="1"/>
  <c r="P25" i="1"/>
  <c r="J55" i="1"/>
  <c r="J56" i="1" s="1"/>
  <c r="J57" i="1" s="1"/>
  <c r="J58" i="1" s="1"/>
  <c r="J59" i="1" s="1"/>
  <c r="J60" i="1" s="1"/>
  <c r="J61" i="1" s="1"/>
  <c r="J62" i="1" s="1"/>
  <c r="J63" i="1" s="1"/>
  <c r="J64" i="1" s="1"/>
  <c r="J65" i="1" s="1"/>
  <c r="J66" i="1" s="1"/>
  <c r="I53" i="1"/>
  <c r="H51" i="1"/>
  <c r="H52" i="1" s="1"/>
  <c r="H53" i="1" s="1"/>
  <c r="H54" i="1" s="1"/>
  <c r="H55" i="1" s="1"/>
  <c r="H56" i="1" s="1"/>
  <c r="H57" i="1" s="1"/>
  <c r="H58" i="1" s="1"/>
  <c r="H59" i="1" s="1"/>
  <c r="H60" i="1" s="1"/>
  <c r="H61" i="1" s="1"/>
  <c r="H62" i="1" s="1"/>
  <c r="H63" i="1" s="1"/>
  <c r="H64" i="1" s="1"/>
  <c r="F46" i="1"/>
  <c r="F47" i="1" s="1"/>
  <c r="F48" i="1" s="1"/>
  <c r="F49" i="1" s="1"/>
  <c r="F50" i="1" s="1"/>
  <c r="G46" i="1"/>
  <c r="K46" i="1"/>
  <c r="M32" i="1"/>
  <c r="M33" i="1" s="1"/>
  <c r="L34" i="1"/>
  <c r="N31" i="1"/>
  <c r="O74" i="1" l="1"/>
  <c r="Q76" i="1"/>
  <c r="P26" i="1"/>
  <c r="H65" i="1"/>
  <c r="J67" i="1"/>
  <c r="I54" i="1"/>
  <c r="I55" i="1" s="1"/>
  <c r="I56" i="1" s="1"/>
  <c r="I57" i="1" s="1"/>
  <c r="I58" i="1" s="1"/>
  <c r="I59" i="1" s="1"/>
  <c r="I60" i="1" s="1"/>
  <c r="I61" i="1" s="1"/>
  <c r="I62" i="1" s="1"/>
  <c r="F51" i="1"/>
  <c r="G47" i="1"/>
  <c r="K47" i="1"/>
  <c r="L35" i="1"/>
  <c r="M34" i="1"/>
  <c r="N32" i="1"/>
  <c r="N33" i="1" s="1"/>
  <c r="O75" i="1" l="1"/>
  <c r="O76" i="1" s="1"/>
  <c r="Q77" i="1"/>
  <c r="P27" i="1"/>
  <c r="H66" i="1"/>
  <c r="J68" i="1"/>
  <c r="I63" i="1"/>
  <c r="I64" i="1" s="1"/>
  <c r="I65" i="1" s="1"/>
  <c r="I66" i="1" s="1"/>
  <c r="F52" i="1"/>
  <c r="G48" i="1"/>
  <c r="K48" i="1"/>
  <c r="L36" i="1"/>
  <c r="M35" i="1"/>
  <c r="N34" i="1"/>
  <c r="N35" i="1" s="1"/>
  <c r="N36" i="1" s="1"/>
  <c r="N37" i="1" s="1"/>
  <c r="N38" i="1" s="1"/>
  <c r="N39" i="1" s="1"/>
  <c r="N40" i="1" s="1"/>
  <c r="N41" i="1" s="1"/>
  <c r="N42" i="1" s="1"/>
  <c r="Q78" i="1" l="1"/>
  <c r="O77" i="1"/>
  <c r="P28" i="1"/>
  <c r="I67" i="1"/>
  <c r="I68" i="1" s="1"/>
  <c r="I69" i="1" s="1"/>
  <c r="H67" i="1"/>
  <c r="J69" i="1"/>
  <c r="F53" i="1"/>
  <c r="F54" i="1" s="1"/>
  <c r="F55" i="1" s="1"/>
  <c r="F56" i="1" s="1"/>
  <c r="F57" i="1" s="1"/>
  <c r="F58" i="1" s="1"/>
  <c r="F59" i="1" s="1"/>
  <c r="F60" i="1" s="1"/>
  <c r="F61" i="1" s="1"/>
  <c r="F62" i="1" s="1"/>
  <c r="K49" i="1"/>
  <c r="K50" i="1" s="1"/>
  <c r="G49" i="1"/>
  <c r="N43" i="1"/>
  <c r="L37" i="1"/>
  <c r="M36" i="1"/>
  <c r="Q79" i="1" l="1"/>
  <c r="O78" i="1"/>
  <c r="P29" i="1"/>
  <c r="J70" i="1"/>
  <c r="I70" i="1"/>
  <c r="H68" i="1"/>
  <c r="H69" i="1" s="1"/>
  <c r="H70" i="1" s="1"/>
  <c r="H71" i="1" s="1"/>
  <c r="H72" i="1" s="1"/>
  <c r="F63" i="1"/>
  <c r="F64" i="1" s="1"/>
  <c r="F65" i="1" s="1"/>
  <c r="F66" i="1" s="1"/>
  <c r="F67" i="1" s="1"/>
  <c r="F68" i="1" s="1"/>
  <c r="F69" i="1" s="1"/>
  <c r="K51" i="1"/>
  <c r="G50" i="1"/>
  <c r="N44" i="1"/>
  <c r="L38" i="1"/>
  <c r="L39" i="1" s="1"/>
  <c r="M37" i="1"/>
  <c r="Q80" i="1" l="1"/>
  <c r="O79" i="1"/>
  <c r="O80" i="1" s="1"/>
  <c r="O81" i="1" s="1"/>
  <c r="AB81" i="1" s="1"/>
  <c r="AB43" i="1"/>
  <c r="AB31" i="1"/>
  <c r="AB42" i="1"/>
  <c r="AB65" i="1"/>
  <c r="AB75" i="1"/>
  <c r="AB71" i="1"/>
  <c r="AB72" i="1"/>
  <c r="AB36" i="1"/>
  <c r="AB34" i="1"/>
  <c r="AB78" i="1"/>
  <c r="AB18" i="1"/>
  <c r="AB19" i="1"/>
  <c r="AB32" i="1"/>
  <c r="AB63" i="1"/>
  <c r="AB5" i="1"/>
  <c r="AB66" i="1"/>
  <c r="AB22" i="1"/>
  <c r="AB4" i="1"/>
  <c r="AB21" i="1"/>
  <c r="AB30" i="1"/>
  <c r="AB16" i="1"/>
  <c r="AB74" i="1"/>
  <c r="AB40" i="1"/>
  <c r="AB39" i="1"/>
  <c r="AB76" i="1"/>
  <c r="AB57" i="1"/>
  <c r="AB61" i="1"/>
  <c r="AB29" i="1"/>
  <c r="AB26" i="1"/>
  <c r="AB17" i="1"/>
  <c r="AB64" i="1"/>
  <c r="AB70" i="1"/>
  <c r="AB37" i="1"/>
  <c r="AB38" i="1"/>
  <c r="AB13" i="1"/>
  <c r="AB68" i="1"/>
  <c r="AB33" i="1"/>
  <c r="AB41" i="1"/>
  <c r="AB62" i="1"/>
  <c r="AB58" i="1"/>
  <c r="AB25" i="1"/>
  <c r="AB7" i="1"/>
  <c r="AB15" i="1"/>
  <c r="AB69" i="1"/>
  <c r="AB56" i="1"/>
  <c r="AB6" i="1"/>
  <c r="AB77" i="1"/>
  <c r="V2" i="1"/>
  <c r="P30" i="1"/>
  <c r="H73" i="1"/>
  <c r="J71" i="1"/>
  <c r="I71" i="1"/>
  <c r="F70" i="1"/>
  <c r="F71" i="1" s="1"/>
  <c r="F72" i="1" s="1"/>
  <c r="F73" i="1" s="1"/>
  <c r="K52" i="1"/>
  <c r="K53" i="1" s="1"/>
  <c r="G51" i="1"/>
  <c r="AB46" i="1"/>
  <c r="N45" i="1"/>
  <c r="L40" i="1"/>
  <c r="M38" i="1"/>
  <c r="M39" i="1" s="1"/>
  <c r="M40" i="1" s="1"/>
  <c r="AD76" i="1" l="1"/>
  <c r="AD36" i="1"/>
  <c r="Q81" i="1"/>
  <c r="AD32" i="1"/>
  <c r="AD37" i="1"/>
  <c r="AD39" i="1"/>
  <c r="AD78" i="1"/>
  <c r="AD74" i="1"/>
  <c r="AD75" i="1"/>
  <c r="AB60" i="1"/>
  <c r="AB73" i="1"/>
  <c r="AB59" i="1"/>
  <c r="AB67" i="1"/>
  <c r="AB79" i="1"/>
  <c r="AB80" i="1"/>
  <c r="H74" i="1"/>
  <c r="F74" i="1"/>
  <c r="F75" i="1" s="1"/>
  <c r="F76" i="1" s="1"/>
  <c r="F77" i="1" s="1"/>
  <c r="F78" i="1" s="1"/>
  <c r="F79" i="1" s="1"/>
  <c r="F80" i="1" s="1"/>
  <c r="P31" i="1"/>
  <c r="I72" i="1"/>
  <c r="J72" i="1"/>
  <c r="N46" i="1"/>
  <c r="N47" i="1" s="1"/>
  <c r="N48" i="1" s="1"/>
  <c r="G52" i="1"/>
  <c r="K54" i="1"/>
  <c r="K55" i="1" s="1"/>
  <c r="K56" i="1" s="1"/>
  <c r="K57" i="1" s="1"/>
  <c r="K58" i="1" s="1"/>
  <c r="K59" i="1" s="1"/>
  <c r="K60" i="1" s="1"/>
  <c r="K61" i="1" s="1"/>
  <c r="K62" i="1" s="1"/>
  <c r="K63" i="1" s="1"/>
  <c r="K64" i="1" s="1"/>
  <c r="K65" i="1" s="1"/>
  <c r="K66" i="1" s="1"/>
  <c r="AB23" i="1"/>
  <c r="AB47" i="1"/>
  <c r="M41" i="1"/>
  <c r="L41" i="1"/>
  <c r="AD81" i="1" l="1"/>
  <c r="AD2" i="1"/>
  <c r="AD4" i="1"/>
  <c r="AD13" i="1"/>
  <c r="AD15" i="1"/>
  <c r="AD60" i="1"/>
  <c r="AD6" i="1"/>
  <c r="AD5" i="1"/>
  <c r="AD57" i="1"/>
  <c r="AD56" i="1"/>
  <c r="AD59" i="1"/>
  <c r="AD18" i="1"/>
  <c r="AD7" i="1"/>
  <c r="AD62" i="1"/>
  <c r="AD26" i="1"/>
  <c r="AD64" i="1"/>
  <c r="AD65" i="1"/>
  <c r="AD21" i="1"/>
  <c r="AD61" i="1"/>
  <c r="AD63" i="1"/>
  <c r="AD66" i="1"/>
  <c r="AD19" i="1"/>
  <c r="AD67" i="1"/>
  <c r="AD25" i="1"/>
  <c r="AD30" i="1"/>
  <c r="AD29" i="1"/>
  <c r="AD33" i="1"/>
  <c r="AD17" i="1"/>
  <c r="AD31" i="1"/>
  <c r="AD70" i="1"/>
  <c r="AD68" i="1"/>
  <c r="AD71" i="1"/>
  <c r="AD73" i="1"/>
  <c r="AD69" i="1"/>
  <c r="AD72" i="1"/>
  <c r="AD16" i="1"/>
  <c r="AD34" i="1"/>
  <c r="AD58" i="1"/>
  <c r="AD80" i="1"/>
  <c r="AD79" i="1"/>
  <c r="AD38" i="1"/>
  <c r="AD77" i="1"/>
  <c r="F81" i="1"/>
  <c r="S81" i="1" s="1"/>
  <c r="S78" i="1"/>
  <c r="S2" i="1"/>
  <c r="S76" i="1"/>
  <c r="S56" i="1"/>
  <c r="S67" i="1"/>
  <c r="S55" i="1"/>
  <c r="S44" i="1"/>
  <c r="S71" i="1"/>
  <c r="S48" i="1"/>
  <c r="S61" i="1"/>
  <c r="S70" i="1"/>
  <c r="S72" i="1"/>
  <c r="S52" i="1"/>
  <c r="S65" i="1"/>
  <c r="S45" i="1"/>
  <c r="S41" i="1"/>
  <c r="S51" i="1"/>
  <c r="S47" i="1"/>
  <c r="S64" i="1"/>
  <c r="S60" i="1"/>
  <c r="H75" i="1"/>
  <c r="S74" i="1"/>
  <c r="S75" i="1"/>
  <c r="S54" i="1"/>
  <c r="S68" i="1"/>
  <c r="S53" i="1"/>
  <c r="S49" i="1"/>
  <c r="S63" i="1"/>
  <c r="S46" i="1"/>
  <c r="S40" i="1"/>
  <c r="S62" i="1"/>
  <c r="S69" i="1"/>
  <c r="S50" i="1"/>
  <c r="S42" i="1"/>
  <c r="S57" i="1"/>
  <c r="S58" i="1"/>
  <c r="S39" i="1"/>
  <c r="S59" i="1"/>
  <c r="S43" i="1"/>
  <c r="S73" i="1"/>
  <c r="P32" i="1"/>
  <c r="J73" i="1"/>
  <c r="I73" i="1"/>
  <c r="K67" i="1"/>
  <c r="G53" i="1"/>
  <c r="N49" i="1"/>
  <c r="N50" i="1" s="1"/>
  <c r="AB35" i="1"/>
  <c r="AD22" i="1"/>
  <c r="AB44" i="1"/>
  <c r="AB48"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S77" i="1" l="1"/>
  <c r="S66" i="1"/>
  <c r="S79" i="1"/>
  <c r="S80" i="1"/>
  <c r="H76" i="1"/>
  <c r="H77" i="1" s="1"/>
  <c r="J74" i="1"/>
  <c r="I74" i="1"/>
  <c r="P33" i="1"/>
  <c r="K68" i="1"/>
  <c r="G54" i="1"/>
  <c r="R2" i="1"/>
  <c r="N51" i="1"/>
  <c r="N52" i="1" s="1"/>
  <c r="N53" i="1" s="1"/>
  <c r="N54" i="1" s="1"/>
  <c r="N55" i="1" s="1"/>
  <c r="AB45" i="1"/>
  <c r="M43" i="1"/>
  <c r="L43" i="1"/>
  <c r="H78" i="1" l="1"/>
  <c r="J75" i="1"/>
  <c r="I75" i="1"/>
  <c r="P34" i="1"/>
  <c r="K69" i="1"/>
  <c r="N56" i="1"/>
  <c r="N57" i="1" s="1"/>
  <c r="N58" i="1" s="1"/>
  <c r="G55" i="1"/>
  <c r="AB49" i="1"/>
  <c r="AD35" i="1"/>
  <c r="L44" i="1"/>
  <c r="M44" i="1"/>
  <c r="M45" i="1" s="1"/>
  <c r="M46" i="1" s="1"/>
  <c r="M47" i="1" s="1"/>
  <c r="H79" i="1" l="1"/>
  <c r="I76" i="1"/>
  <c r="J76" i="1"/>
  <c r="P35" i="1"/>
  <c r="K70" i="1"/>
  <c r="K71" i="1" s="1"/>
  <c r="N59" i="1"/>
  <c r="G56" i="1"/>
  <c r="AB20" i="1"/>
  <c r="AB14" i="1"/>
  <c r="AB53" i="1"/>
  <c r="AB52" i="1"/>
  <c r="AB54" i="1"/>
  <c r="AB50" i="1"/>
  <c r="AD50" i="1"/>
  <c r="AD42" i="1"/>
  <c r="AD41" i="1"/>
  <c r="AD40" i="1"/>
  <c r="AD43" i="1"/>
  <c r="AD45" i="1"/>
  <c r="AD46" i="1"/>
  <c r="AD44" i="1"/>
  <c r="AD47" i="1"/>
  <c r="AD48" i="1"/>
  <c r="AD49" i="1"/>
  <c r="AB51" i="1"/>
  <c r="AD51" i="1"/>
  <c r="AB55" i="1"/>
  <c r="AB10" i="1"/>
  <c r="AB9" i="1"/>
  <c r="AB27" i="1"/>
  <c r="AB11" i="1"/>
  <c r="AB8" i="1"/>
  <c r="AB24" i="1"/>
  <c r="AB12" i="1"/>
  <c r="AB28" i="1"/>
  <c r="AD55" i="1"/>
  <c r="AD10" i="1"/>
  <c r="AD8" i="1"/>
  <c r="AD9" i="1"/>
  <c r="AD12" i="1"/>
  <c r="AD24" i="1"/>
  <c r="AD11" i="1"/>
  <c r="AD27" i="1"/>
  <c r="AD28" i="1"/>
  <c r="AD23" i="1"/>
  <c r="AD52" i="1"/>
  <c r="M48" i="1"/>
  <c r="L45" i="1"/>
  <c r="L46" i="1" s="1"/>
  <c r="L47" i="1" s="1"/>
  <c r="H80" i="1" l="1"/>
  <c r="U2" i="1"/>
  <c r="I77" i="1"/>
  <c r="J77" i="1"/>
  <c r="J78" i="1" s="1"/>
  <c r="J79" i="1" s="1"/>
  <c r="J80" i="1" s="1"/>
  <c r="P36" i="1"/>
  <c r="K72" i="1"/>
  <c r="N60" i="1"/>
  <c r="G57" i="1"/>
  <c r="G58" i="1" s="1"/>
  <c r="G59" i="1" s="1"/>
  <c r="G60" i="1" s="1"/>
  <c r="AD20" i="1"/>
  <c r="AB3" i="1"/>
  <c r="R3" i="1"/>
  <c r="AD14" i="1"/>
  <c r="AD54" i="1"/>
  <c r="AD53" i="1"/>
  <c r="M49" i="1"/>
  <c r="L48" i="1"/>
  <c r="H81" i="1" l="1"/>
  <c r="U52" i="1" s="1"/>
  <c r="J81" i="1"/>
  <c r="W81" i="1" s="1"/>
  <c r="U46" i="1"/>
  <c r="U44" i="1"/>
  <c r="U69" i="1"/>
  <c r="U60" i="1"/>
  <c r="U55" i="1"/>
  <c r="U51" i="1"/>
  <c r="W2" i="1"/>
  <c r="I78" i="1"/>
  <c r="W77" i="1"/>
  <c r="W64" i="1"/>
  <c r="W58" i="1"/>
  <c r="W57" i="1"/>
  <c r="W65" i="1"/>
  <c r="W45" i="1"/>
  <c r="W60" i="1"/>
  <c r="W62" i="1"/>
  <c r="W46" i="1"/>
  <c r="W67" i="1"/>
  <c r="W52" i="1"/>
  <c r="W3" i="1"/>
  <c r="W76" i="1"/>
  <c r="W72" i="1"/>
  <c r="W73" i="1"/>
  <c r="W68" i="1"/>
  <c r="W44" i="1"/>
  <c r="W61" i="1"/>
  <c r="W40" i="1"/>
  <c r="W53" i="1"/>
  <c r="W47" i="1"/>
  <c r="W41" i="1"/>
  <c r="W43" i="1"/>
  <c r="W63" i="1"/>
  <c r="W49" i="1"/>
  <c r="W66" i="1"/>
  <c r="W71" i="1"/>
  <c r="W75" i="1"/>
  <c r="W42" i="1"/>
  <c r="W50" i="1"/>
  <c r="W48" i="1"/>
  <c r="W69" i="1"/>
  <c r="N61" i="1"/>
  <c r="N62" i="1" s="1"/>
  <c r="N63" i="1" s="1"/>
  <c r="N64" i="1" s="1"/>
  <c r="N65" i="1" s="1"/>
  <c r="N66" i="1" s="1"/>
  <c r="P37" i="1"/>
  <c r="K73" i="1"/>
  <c r="G61" i="1"/>
  <c r="AD3" i="1"/>
  <c r="R45" i="1"/>
  <c r="R16" i="1"/>
  <c r="R14" i="1"/>
  <c r="R30" i="1"/>
  <c r="R50" i="1"/>
  <c r="R52" i="1"/>
  <c r="R10" i="1"/>
  <c r="R49" i="1"/>
  <c r="R11" i="1"/>
  <c r="R36" i="1"/>
  <c r="R32" i="1"/>
  <c r="R6" i="1"/>
  <c r="R34" i="1"/>
  <c r="R21" i="1"/>
  <c r="R23" i="1"/>
  <c r="R22" i="1"/>
  <c r="R37" i="1"/>
  <c r="R51" i="1"/>
  <c r="R40" i="1"/>
  <c r="R13" i="1"/>
  <c r="R53" i="1"/>
  <c r="R48" i="1"/>
  <c r="R46" i="1"/>
  <c r="R15" i="1"/>
  <c r="R33" i="1"/>
  <c r="R5" i="1"/>
  <c r="R38" i="1"/>
  <c r="R8" i="1"/>
  <c r="R4" i="1"/>
  <c r="R12" i="1"/>
  <c r="R9" i="1"/>
  <c r="R39" i="1"/>
  <c r="R24" i="1"/>
  <c r="R47" i="1"/>
  <c r="R7" i="1"/>
  <c r="R26" i="1"/>
  <c r="R27" i="1"/>
  <c r="R20" i="1"/>
  <c r="R18" i="1"/>
  <c r="R31" i="1"/>
  <c r="R44" i="1"/>
  <c r="R41" i="1"/>
  <c r="R25" i="1"/>
  <c r="R28" i="1"/>
  <c r="R29" i="1"/>
  <c r="R42" i="1"/>
  <c r="R17" i="1"/>
  <c r="R35" i="1"/>
  <c r="R54" i="1"/>
  <c r="R19"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78" i="1" l="1"/>
  <c r="W55" i="1"/>
  <c r="W70" i="1"/>
  <c r="W59" i="1"/>
  <c r="W39" i="1"/>
  <c r="W56" i="1"/>
  <c r="W74" i="1"/>
  <c r="U42" i="1"/>
  <c r="U64" i="1"/>
  <c r="W54" i="1"/>
  <c r="W79" i="1"/>
  <c r="W51" i="1"/>
  <c r="U40" i="1"/>
  <c r="U68" i="1"/>
  <c r="U49" i="1"/>
  <c r="U72" i="1"/>
  <c r="U75" i="1"/>
  <c r="U58" i="1"/>
  <c r="U61" i="1"/>
  <c r="U73" i="1"/>
  <c r="U39" i="1"/>
  <c r="U53" i="1"/>
  <c r="U66" i="1"/>
  <c r="U70" i="1"/>
  <c r="U47" i="1"/>
  <c r="U3" i="1"/>
  <c r="U59" i="1"/>
  <c r="U45" i="1"/>
  <c r="U54" i="1"/>
  <c r="U74" i="1"/>
  <c r="U56" i="1"/>
  <c r="U81" i="1"/>
  <c r="U57" i="1"/>
  <c r="U4" i="1"/>
  <c r="U6" i="1"/>
  <c r="U5" i="1"/>
  <c r="U23" i="1"/>
  <c r="U14" i="1"/>
  <c r="U30" i="1"/>
  <c r="U13" i="1"/>
  <c r="U25" i="1"/>
  <c r="U37" i="1"/>
  <c r="U65" i="1"/>
  <c r="U43" i="1"/>
  <c r="U27" i="1"/>
  <c r="U15" i="1"/>
  <c r="U9" i="1"/>
  <c r="U35" i="1"/>
  <c r="U29" i="1"/>
  <c r="U18" i="1"/>
  <c r="U41" i="1"/>
  <c r="U19" i="1"/>
  <c r="U7" i="1"/>
  <c r="U38" i="1"/>
  <c r="U28" i="1"/>
  <c r="U67" i="1"/>
  <c r="U62" i="1"/>
  <c r="U21" i="1"/>
  <c r="U26" i="1"/>
  <c r="U24" i="1"/>
  <c r="U17" i="1"/>
  <c r="U22" i="1"/>
  <c r="U32" i="1"/>
  <c r="U50" i="1"/>
  <c r="U8" i="1"/>
  <c r="U12" i="1"/>
  <c r="U77" i="1"/>
  <c r="U71" i="1"/>
  <c r="U31" i="1"/>
  <c r="U36" i="1"/>
  <c r="U11" i="1"/>
  <c r="U80" i="1"/>
  <c r="U78" i="1"/>
  <c r="U16" i="1"/>
  <c r="U10" i="1"/>
  <c r="U20" i="1"/>
  <c r="U48" i="1"/>
  <c r="U79" i="1"/>
  <c r="U33" i="1"/>
  <c r="U76" i="1"/>
  <c r="U34" i="1"/>
  <c r="U63" i="1"/>
  <c r="W80" i="1"/>
  <c r="I79" i="1"/>
  <c r="N67" i="1"/>
  <c r="N68" i="1" s="1"/>
  <c r="K74" i="1"/>
  <c r="P38" i="1"/>
  <c r="G62" i="1"/>
  <c r="G63" i="1" s="1"/>
  <c r="M51" i="1"/>
  <c r="M52" i="1" s="1"/>
  <c r="M53" i="1" s="1"/>
  <c r="L50" i="1"/>
  <c r="I80" i="1" l="1"/>
  <c r="I81" i="1" s="1"/>
  <c r="K75" i="1"/>
  <c r="P39" i="1"/>
  <c r="N69" i="1"/>
  <c r="G64" i="1"/>
  <c r="M54" i="1"/>
  <c r="M55" i="1" s="1"/>
  <c r="L51" i="1"/>
  <c r="L52" i="1" s="1"/>
  <c r="L53" i="1" s="1"/>
  <c r="V48" i="1" l="1"/>
  <c r="V81" i="1"/>
  <c r="V77" i="1"/>
  <c r="V36" i="1"/>
  <c r="V49" i="1"/>
  <c r="V62" i="1"/>
  <c r="V12" i="1"/>
  <c r="V50" i="1"/>
  <c r="V53" i="1"/>
  <c r="V58" i="1"/>
  <c r="V29" i="1"/>
  <c r="V31" i="1"/>
  <c r="V39" i="1"/>
  <c r="V51" i="1"/>
  <c r="V4" i="1"/>
  <c r="V5" i="1"/>
  <c r="V3" i="1"/>
  <c r="V6" i="1"/>
  <c r="V7" i="1"/>
  <c r="V19" i="1"/>
  <c r="V59" i="1"/>
  <c r="V72" i="1"/>
  <c r="V78" i="1"/>
  <c r="V17" i="1"/>
  <c r="V9" i="1"/>
  <c r="V38" i="1"/>
  <c r="V23" i="1"/>
  <c r="V10" i="1"/>
  <c r="V13" i="1"/>
  <c r="V14" i="1"/>
  <c r="V60" i="1"/>
  <c r="V70" i="1"/>
  <c r="V46" i="1"/>
  <c r="V47" i="1"/>
  <c r="V52" i="1"/>
  <c r="V66" i="1"/>
  <c r="V69" i="1"/>
  <c r="V57" i="1"/>
  <c r="V80" i="1"/>
  <c r="V20" i="1"/>
  <c r="V26" i="1"/>
  <c r="V28" i="1"/>
  <c r="V15" i="1"/>
  <c r="V21" i="1"/>
  <c r="V16" i="1"/>
  <c r="V24" i="1"/>
  <c r="V27" i="1"/>
  <c r="V11" i="1"/>
  <c r="V30" i="1"/>
  <c r="V37" i="1"/>
  <c r="V32" i="1"/>
  <c r="V22" i="1"/>
  <c r="V56" i="1"/>
  <c r="V76" i="1"/>
  <c r="V75" i="1"/>
  <c r="V61" i="1"/>
  <c r="V42" i="1"/>
  <c r="V54" i="1"/>
  <c r="V71" i="1"/>
  <c r="V43" i="1"/>
  <c r="V45" i="1"/>
  <c r="V55" i="1"/>
  <c r="V25" i="1"/>
  <c r="V33" i="1"/>
  <c r="V65" i="1"/>
  <c r="V35" i="1"/>
  <c r="V8" i="1"/>
  <c r="V18" i="1"/>
  <c r="V34" i="1"/>
  <c r="V41" i="1"/>
  <c r="V64" i="1"/>
  <c r="V63" i="1"/>
  <c r="V67" i="1"/>
  <c r="V74" i="1"/>
  <c r="V73" i="1"/>
  <c r="V44" i="1"/>
  <c r="V40" i="1"/>
  <c r="V68" i="1"/>
  <c r="V79" i="1"/>
  <c r="K76" i="1"/>
  <c r="P40" i="1"/>
  <c r="N70" i="1"/>
  <c r="G65" i="1"/>
  <c r="M56" i="1"/>
  <c r="M57" i="1" s="1"/>
  <c r="L54" i="1"/>
  <c r="P41" i="1" l="1"/>
  <c r="G66" i="1"/>
  <c r="G67" i="1" s="1"/>
  <c r="G68" i="1" s="1"/>
  <c r="G69" i="1" s="1"/>
  <c r="G70" i="1" s="1"/>
  <c r="G71" i="1" s="1"/>
  <c r="G72" i="1" s="1"/>
  <c r="K77" i="1"/>
  <c r="K78" i="1" s="1"/>
  <c r="AA2" i="1"/>
  <c r="N71" i="1"/>
  <c r="M58" i="1"/>
  <c r="M59" i="1" s="1"/>
  <c r="M60" i="1" s="1"/>
  <c r="L55" i="1"/>
  <c r="L56" i="1" s="1"/>
  <c r="L57" i="1" s="1"/>
  <c r="L58" i="1" s="1"/>
  <c r="L59" i="1" s="1"/>
  <c r="L60" i="1" s="1"/>
  <c r="L61" i="1" s="1"/>
  <c r="L62" i="1" s="1"/>
  <c r="L63" i="1" s="1"/>
  <c r="L64" i="1" s="1"/>
  <c r="L65" i="1" s="1"/>
  <c r="L66" i="1" s="1"/>
  <c r="K79" i="1" l="1"/>
  <c r="P42" i="1"/>
  <c r="G73" i="1"/>
  <c r="G74" i="1" s="1"/>
  <c r="G75" i="1" s="1"/>
  <c r="T2" i="1"/>
  <c r="X2" i="1"/>
  <c r="N72" i="1"/>
  <c r="N73" i="1" s="1"/>
  <c r="L67" i="1"/>
  <c r="M61" i="1"/>
  <c r="K80" i="1" l="1"/>
  <c r="K81" i="1" s="1"/>
  <c r="X81" i="1" s="1"/>
  <c r="P43" i="1"/>
  <c r="G76" i="1"/>
  <c r="G77" i="1" s="1"/>
  <c r="N74" i="1"/>
  <c r="L68" i="1"/>
  <c r="M62" i="1"/>
  <c r="Y2" i="1"/>
  <c r="X80" i="1" l="1"/>
  <c r="X42" i="1"/>
  <c r="X67" i="1"/>
  <c r="X10" i="1"/>
  <c r="X73" i="1"/>
  <c r="X41" i="1"/>
  <c r="X37" i="1"/>
  <c r="X24" i="1"/>
  <c r="X43" i="1"/>
  <c r="X38" i="1"/>
  <c r="X20" i="1"/>
  <c r="X17" i="1"/>
  <c r="X61" i="1"/>
  <c r="X62" i="1"/>
  <c r="X35" i="1"/>
  <c r="X22" i="1"/>
  <c r="X60" i="1"/>
  <c r="X69" i="1"/>
  <c r="X27" i="1"/>
  <c r="X31" i="1"/>
  <c r="X50" i="1"/>
  <c r="X39" i="1"/>
  <c r="X12" i="1"/>
  <c r="X63" i="1"/>
  <c r="X25" i="1"/>
  <c r="X78" i="1"/>
  <c r="X72" i="1"/>
  <c r="X23" i="1"/>
  <c r="X47" i="1"/>
  <c r="X68" i="1"/>
  <c r="X51" i="1"/>
  <c r="X7" i="1"/>
  <c r="X48" i="1"/>
  <c r="X59" i="1"/>
  <c r="X74" i="1"/>
  <c r="X71" i="1"/>
  <c r="X77" i="1"/>
  <c r="X54" i="1"/>
  <c r="X13" i="1"/>
  <c r="X32" i="1"/>
  <c r="X40" i="1"/>
  <c r="X14" i="1"/>
  <c r="X21" i="1"/>
  <c r="X64" i="1"/>
  <c r="X57" i="1"/>
  <c r="X70" i="1"/>
  <c r="X5" i="1"/>
  <c r="X19" i="1"/>
  <c r="X55" i="1"/>
  <c r="X44" i="1"/>
  <c r="X3" i="1"/>
  <c r="X30" i="1"/>
  <c r="X36" i="1"/>
  <c r="X58" i="1"/>
  <c r="X29" i="1"/>
  <c r="X4" i="1"/>
  <c r="X9" i="1"/>
  <c r="X8" i="1"/>
  <c r="X18" i="1"/>
  <c r="X75" i="1"/>
  <c r="X56" i="1"/>
  <c r="X26" i="1"/>
  <c r="X45" i="1"/>
  <c r="X34" i="1"/>
  <c r="X53" i="1"/>
  <c r="X16" i="1"/>
  <c r="X11" i="1"/>
  <c r="X15" i="1"/>
  <c r="X46" i="1"/>
  <c r="X33" i="1"/>
  <c r="X6" i="1"/>
  <c r="X65" i="1"/>
  <c r="X66" i="1"/>
  <c r="X76" i="1"/>
  <c r="X28" i="1"/>
  <c r="X49" i="1"/>
  <c r="X52" i="1"/>
  <c r="X79" i="1"/>
  <c r="G78" i="1"/>
  <c r="P44" i="1"/>
  <c r="N75" i="1"/>
  <c r="L69" i="1"/>
  <c r="M63" i="1"/>
  <c r="M64" i="1" s="1"/>
  <c r="M65" i="1" s="1"/>
  <c r="M66" i="1" s="1"/>
  <c r="G79" i="1" l="1"/>
  <c r="P45" i="1"/>
  <c r="N76" i="1"/>
  <c r="L70" i="1"/>
  <c r="M67" i="1"/>
  <c r="G80" i="1" l="1"/>
  <c r="G81" i="1" s="1"/>
  <c r="T71" i="1" s="1"/>
  <c r="T6" i="1"/>
  <c r="T40" i="1"/>
  <c r="T8" i="1"/>
  <c r="T70" i="1"/>
  <c r="T56" i="1"/>
  <c r="T55" i="1"/>
  <c r="T10" i="1"/>
  <c r="T28" i="1"/>
  <c r="T14" i="1"/>
  <c r="T38" i="1"/>
  <c r="T12" i="1"/>
  <c r="T60" i="1"/>
  <c r="T26" i="1"/>
  <c r="T41" i="1"/>
  <c r="T11" i="1"/>
  <c r="T27" i="1"/>
  <c r="T22" i="1"/>
  <c r="T21" i="1"/>
  <c r="T72" i="1"/>
  <c r="T23" i="1"/>
  <c r="T19" i="1"/>
  <c r="T29" i="1"/>
  <c r="T13" i="1"/>
  <c r="T37" i="1"/>
  <c r="T69" i="1"/>
  <c r="T18" i="1"/>
  <c r="T62" i="1"/>
  <c r="T59" i="1"/>
  <c r="T25" i="1"/>
  <c r="T45" i="1"/>
  <c r="T42" i="1"/>
  <c r="T54" i="1"/>
  <c r="T52" i="1"/>
  <c r="T53" i="1"/>
  <c r="P46" i="1"/>
  <c r="N77" i="1"/>
  <c r="L71" i="1"/>
  <c r="L72" i="1" s="1"/>
  <c r="L73" i="1" s="1"/>
  <c r="M68" i="1"/>
  <c r="T9" i="1" l="1"/>
  <c r="T39" i="1"/>
  <c r="T44" i="1"/>
  <c r="T58" i="1"/>
  <c r="T4" i="1"/>
  <c r="T17" i="1"/>
  <c r="T15" i="1"/>
  <c r="T33" i="1"/>
  <c r="T51" i="1"/>
  <c r="T20" i="1"/>
  <c r="T5" i="1"/>
  <c r="T46" i="1"/>
  <c r="T66" i="1"/>
  <c r="T77" i="1"/>
  <c r="T36" i="1"/>
  <c r="T74" i="1"/>
  <c r="T64" i="1"/>
  <c r="T73" i="1"/>
  <c r="T75" i="1"/>
  <c r="T48" i="1"/>
  <c r="T34" i="1"/>
  <c r="T24" i="1"/>
  <c r="T68" i="1"/>
  <c r="T47" i="1"/>
  <c r="T50" i="1"/>
  <c r="T65" i="1"/>
  <c r="T57" i="1"/>
  <c r="T76" i="1"/>
  <c r="T43" i="1"/>
  <c r="T78" i="1"/>
  <c r="T49" i="1"/>
  <c r="T79" i="1"/>
  <c r="T31" i="1"/>
  <c r="T67" i="1"/>
  <c r="T3" i="1"/>
  <c r="T35" i="1"/>
  <c r="T81" i="1"/>
  <c r="T16" i="1"/>
  <c r="T7" i="1"/>
  <c r="T61" i="1"/>
  <c r="T32" i="1"/>
  <c r="T63" i="1"/>
  <c r="T80" i="1"/>
  <c r="T30" i="1"/>
  <c r="P47" i="1"/>
  <c r="N78" i="1"/>
  <c r="L74" i="1"/>
  <c r="L75" i="1" s="1"/>
  <c r="M69" i="1"/>
  <c r="AA59" i="1" l="1"/>
  <c r="N79" i="1"/>
  <c r="N80" i="1" s="1"/>
  <c r="N81" i="1" s="1"/>
  <c r="AA81" i="1" s="1"/>
  <c r="P48" i="1"/>
  <c r="AA76" i="1"/>
  <c r="AA44" i="1"/>
  <c r="AA51" i="1"/>
  <c r="AA15" i="1"/>
  <c r="AA56" i="1"/>
  <c r="AA63" i="1"/>
  <c r="AA11" i="1"/>
  <c r="AA22" i="1"/>
  <c r="AA18" i="1"/>
  <c r="AA12" i="1"/>
  <c r="AA62" i="1"/>
  <c r="AA27" i="1"/>
  <c r="AA29" i="1"/>
  <c r="AA32" i="1"/>
  <c r="AA24" i="1"/>
  <c r="AA49" i="1"/>
  <c r="AA14" i="1"/>
  <c r="AA21" i="1"/>
  <c r="AA61" i="1"/>
  <c r="AA8" i="1"/>
  <c r="AA9" i="1"/>
  <c r="AA33" i="1"/>
  <c r="AA35" i="1"/>
  <c r="AA5" i="1"/>
  <c r="AA55" i="1"/>
  <c r="AA10" i="1"/>
  <c r="AA4" i="1"/>
  <c r="AA23" i="1"/>
  <c r="AA78" i="1"/>
  <c r="AA75" i="1"/>
  <c r="AA43" i="1"/>
  <c r="AA41" i="1"/>
  <c r="AA66" i="1"/>
  <c r="AA60" i="1"/>
  <c r="AA67" i="1"/>
  <c r="AA50" i="1"/>
  <c r="AA70" i="1"/>
  <c r="AA3" i="1"/>
  <c r="AA73" i="1"/>
  <c r="AA40" i="1"/>
  <c r="AA69" i="1"/>
  <c r="AA57" i="1"/>
  <c r="AA46" i="1"/>
  <c r="AA54" i="1"/>
  <c r="AA47" i="1"/>
  <c r="AA52" i="1"/>
  <c r="AA68" i="1"/>
  <c r="AA17" i="1"/>
  <c r="AA45" i="1"/>
  <c r="AA64" i="1"/>
  <c r="AA72" i="1"/>
  <c r="AA26" i="1"/>
  <c r="AA31" i="1"/>
  <c r="AA74" i="1"/>
  <c r="AA36" i="1"/>
  <c r="AA39" i="1"/>
  <c r="AA30" i="1"/>
  <c r="AA19" i="1"/>
  <c r="AA28" i="1"/>
  <c r="AA65" i="1"/>
  <c r="AA48" i="1"/>
  <c r="AA7" i="1"/>
  <c r="AA16" i="1"/>
  <c r="AA34" i="1"/>
  <c r="AA42" i="1"/>
  <c r="AA53" i="1"/>
  <c r="AA13" i="1"/>
  <c r="AA25" i="1"/>
  <c r="AA6" i="1"/>
  <c r="AA38" i="1"/>
  <c r="AA71" i="1"/>
  <c r="AA37" i="1"/>
  <c r="AA20" i="1"/>
  <c r="AA58" i="1"/>
  <c r="AA77" i="1"/>
  <c r="L76" i="1"/>
  <c r="M70" i="1"/>
  <c r="AA79" i="1" l="1"/>
  <c r="AA80" i="1"/>
  <c r="P49" i="1"/>
  <c r="L77" i="1"/>
  <c r="M71" i="1"/>
  <c r="P50" i="1" l="1"/>
  <c r="L78" i="1"/>
  <c r="M72" i="1"/>
  <c r="L79" i="1" l="1"/>
  <c r="P51" i="1"/>
  <c r="M73" i="1"/>
  <c r="L80" i="1" l="1"/>
  <c r="L81" i="1" s="1"/>
  <c r="Y81" i="1" s="1"/>
  <c r="P52" i="1"/>
  <c r="M74" i="1"/>
  <c r="M75" i="1" s="1"/>
  <c r="Y67" i="1" l="1"/>
  <c r="Y70" i="1"/>
  <c r="Y7" i="1"/>
  <c r="Y73" i="1"/>
  <c r="Y34" i="1"/>
  <c r="Y27" i="1"/>
  <c r="Y65" i="1"/>
  <c r="Y35" i="1"/>
  <c r="Y71" i="1"/>
  <c r="Y68" i="1"/>
  <c r="Y23" i="1"/>
  <c r="Y58" i="1"/>
  <c r="Y33" i="1"/>
  <c r="Y72" i="1"/>
  <c r="Y69" i="1"/>
  <c r="Y18" i="1"/>
  <c r="Y28" i="1"/>
  <c r="Y30" i="1"/>
  <c r="Y45" i="1"/>
  <c r="Y8" i="1"/>
  <c r="Y9" i="1"/>
  <c r="Y49" i="1"/>
  <c r="Y20" i="1"/>
  <c r="Y50" i="1"/>
  <c r="Y6" i="1"/>
  <c r="Y54" i="1"/>
  <c r="Y51" i="1"/>
  <c r="Y78" i="1"/>
  <c r="Y29" i="1"/>
  <c r="Y53" i="1"/>
  <c r="Y60" i="1"/>
  <c r="Y15" i="1"/>
  <c r="Y52" i="1"/>
  <c r="Y57" i="1"/>
  <c r="Y76" i="1"/>
  <c r="Y24" i="1"/>
  <c r="Y21" i="1"/>
  <c r="Y13" i="1"/>
  <c r="Y22" i="1"/>
  <c r="Y31" i="1"/>
  <c r="Y11" i="1"/>
  <c r="Y41" i="1"/>
  <c r="Y10" i="1"/>
  <c r="Y17" i="1"/>
  <c r="Y40" i="1"/>
  <c r="Y16" i="1"/>
  <c r="Y55" i="1"/>
  <c r="Y75" i="1"/>
  <c r="Y19" i="1"/>
  <c r="Y66" i="1"/>
  <c r="Y62" i="1"/>
  <c r="Y79" i="1"/>
  <c r="Y44" i="1"/>
  <c r="Y4" i="1"/>
  <c r="Y36" i="1"/>
  <c r="Y47" i="1"/>
  <c r="Y14" i="1"/>
  <c r="Y37" i="1"/>
  <c r="Y56" i="1"/>
  <c r="Y32" i="1"/>
  <c r="Y61" i="1"/>
  <c r="Y42" i="1"/>
  <c r="Y26" i="1"/>
  <c r="Y5" i="1"/>
  <c r="Y74" i="1"/>
  <c r="Y25" i="1"/>
  <c r="Y48" i="1"/>
  <c r="Y46" i="1"/>
  <c r="Y12" i="1"/>
  <c r="Y38" i="1"/>
  <c r="Y64" i="1"/>
  <c r="Y39" i="1"/>
  <c r="Y3" i="1"/>
  <c r="Y77" i="1"/>
  <c r="Y59" i="1"/>
  <c r="Y63" i="1"/>
  <c r="Y43" i="1"/>
  <c r="Y80" i="1"/>
  <c r="P53" i="1"/>
  <c r="M76" i="1"/>
  <c r="P54" i="1" l="1"/>
  <c r="M77" i="1"/>
  <c r="M78" i="1" s="1"/>
  <c r="M79" i="1" s="1"/>
  <c r="M80" i="1" s="1"/>
  <c r="M81" i="1" l="1"/>
  <c r="Z81" i="1" s="1"/>
  <c r="Z78" i="1"/>
  <c r="Z79" i="1"/>
  <c r="P55" i="1"/>
  <c r="P56" i="1" s="1"/>
  <c r="P57" i="1" s="1"/>
  <c r="P58" i="1" s="1"/>
  <c r="P59" i="1" s="1"/>
  <c r="P60" i="1" s="1"/>
  <c r="P61" i="1" s="1"/>
  <c r="P62" i="1" s="1"/>
  <c r="P63" i="1" s="1"/>
  <c r="P64" i="1" s="1"/>
  <c r="P65" i="1" s="1"/>
  <c r="P66" i="1" s="1"/>
  <c r="P67" i="1" s="1"/>
  <c r="P68" i="1" s="1"/>
  <c r="Z3" i="1"/>
  <c r="Z2" i="1"/>
  <c r="Z77" i="1"/>
  <c r="Z64" i="1"/>
  <c r="Z24" i="1"/>
  <c r="Z17" i="1"/>
  <c r="Z56" i="1"/>
  <c r="Z49" i="1"/>
  <c r="Z14" i="1"/>
  <c r="Z52" i="1"/>
  <c r="Z37" i="1"/>
  <c r="Z16" i="1"/>
  <c r="Z19" i="1"/>
  <c r="Z34" i="1"/>
  <c r="Z44" i="1"/>
  <c r="Z10" i="1"/>
  <c r="Z7" i="1"/>
  <c r="Z69" i="1"/>
  <c r="Z31" i="1"/>
  <c r="Z74" i="1"/>
  <c r="Z12" i="1"/>
  <c r="Z27" i="1"/>
  <c r="Z46" i="1"/>
  <c r="Z53" i="1"/>
  <c r="Z61" i="1"/>
  <c r="Z62" i="1"/>
  <c r="Z68" i="1"/>
  <c r="Z63" i="1"/>
  <c r="Z22" i="1"/>
  <c r="Z58" i="1"/>
  <c r="Z72" i="1"/>
  <c r="Z6" i="1"/>
  <c r="Z66" i="1"/>
  <c r="Z50" i="1"/>
  <c r="Z30" i="1"/>
  <c r="Z5" i="1"/>
  <c r="Z47" i="1"/>
  <c r="Z21" i="1"/>
  <c r="Z4" i="1"/>
  <c r="Z32" i="1"/>
  <c r="Z29" i="1"/>
  <c r="Z38" i="1"/>
  <c r="Z57" i="1"/>
  <c r="Z23" i="1"/>
  <c r="Z42" i="1"/>
  <c r="Z60" i="1"/>
  <c r="Z11" i="1"/>
  <c r="Z9" i="1"/>
  <c r="Z20" i="1"/>
  <c r="Z35" i="1"/>
  <c r="Z45" i="1"/>
  <c r="Z18" i="1"/>
  <c r="Z70" i="1"/>
  <c r="Z51" i="1"/>
  <c r="Z13" i="1"/>
  <c r="Z41" i="1"/>
  <c r="Z25" i="1"/>
  <c r="Z54" i="1"/>
  <c r="Z43" i="1"/>
  <c r="Z55" i="1"/>
  <c r="Z65" i="1"/>
  <c r="Z40" i="1"/>
  <c r="Z48" i="1"/>
  <c r="Z26" i="1"/>
  <c r="Z33" i="1"/>
  <c r="Z59" i="1"/>
  <c r="Z39" i="1"/>
  <c r="Z15" i="1"/>
  <c r="Z73" i="1"/>
  <c r="Z36" i="1"/>
  <c r="Z28" i="1"/>
  <c r="Z67" i="1"/>
  <c r="Z8" i="1"/>
  <c r="Z71" i="1"/>
  <c r="Z75" i="1"/>
  <c r="Z76" i="1"/>
  <c r="Z80" i="1" l="1"/>
  <c r="P69" i="1"/>
  <c r="P70" i="1" s="1"/>
  <c r="P71" i="1" s="1"/>
  <c r="P72" i="1" s="1"/>
  <c r="P73" i="1" s="1"/>
  <c r="P74" i="1" s="1"/>
  <c r="P75" i="1" s="1"/>
  <c r="P76" i="1" s="1"/>
  <c r="P77" i="1" s="1"/>
  <c r="P78" i="1" s="1"/>
  <c r="P79" i="1" s="1"/>
  <c r="P80" i="1" s="1"/>
  <c r="P81" i="1" s="1"/>
  <c r="AC81" i="1" s="1"/>
  <c r="AC2" i="1"/>
  <c r="AC23" i="1" l="1"/>
  <c r="AC10" i="1"/>
  <c r="AC67" i="1"/>
  <c r="AC14" i="1"/>
  <c r="AC77" i="1"/>
  <c r="AC42" i="1"/>
  <c r="AC9" i="1"/>
  <c r="AC68" i="1"/>
  <c r="AC62" i="1"/>
  <c r="AC11" i="1"/>
  <c r="AC22" i="1"/>
  <c r="AC60" i="1"/>
  <c r="AC70" i="1"/>
  <c r="AC40" i="1"/>
  <c r="AC13" i="1"/>
  <c r="AC5" i="1"/>
  <c r="AC39" i="1"/>
  <c r="AC50" i="1"/>
  <c r="AC37" i="1"/>
  <c r="AC49" i="1"/>
  <c r="AC45" i="1"/>
  <c r="AC4" i="1"/>
  <c r="AC55" i="1"/>
  <c r="AC75" i="1"/>
  <c r="AC21" i="1"/>
  <c r="AC47" i="1"/>
  <c r="AC41" i="1"/>
  <c r="AC38" i="1"/>
  <c r="AC7" i="1"/>
  <c r="AC61" i="1"/>
  <c r="AC20" i="1"/>
  <c r="AC73" i="1"/>
  <c r="AC6" i="1"/>
  <c r="AC64" i="1"/>
  <c r="AC27" i="1"/>
  <c r="AC31" i="1"/>
  <c r="AC25" i="1"/>
  <c r="AC46" i="1"/>
  <c r="AC3" i="1"/>
  <c r="AC19" i="1"/>
  <c r="AC30" i="1"/>
  <c r="AC16" i="1"/>
  <c r="AC69" i="1"/>
  <c r="AC28" i="1"/>
  <c r="AC66" i="1"/>
  <c r="AC59" i="1"/>
  <c r="AC48" i="1"/>
  <c r="AC8" i="1"/>
  <c r="AC15" i="1"/>
  <c r="AC24" i="1"/>
  <c r="AC34" i="1"/>
  <c r="AC52" i="1"/>
  <c r="AC57" i="1"/>
  <c r="AC63" i="1"/>
  <c r="AC17" i="1"/>
  <c r="AC36" i="1"/>
  <c r="AC33" i="1"/>
  <c r="AC43" i="1"/>
  <c r="AC26" i="1"/>
  <c r="AC12" i="1"/>
  <c r="AC65" i="1"/>
  <c r="AC51" i="1"/>
  <c r="AC35" i="1"/>
  <c r="AC58" i="1"/>
  <c r="AC56" i="1"/>
  <c r="AC29" i="1"/>
  <c r="AC71" i="1"/>
  <c r="AC44" i="1"/>
  <c r="AC72" i="1"/>
  <c r="AC53" i="1"/>
  <c r="AC54" i="1"/>
  <c r="AC18" i="1"/>
  <c r="AC32" i="1"/>
  <c r="AC79" i="1"/>
  <c r="AC80" i="1"/>
  <c r="AC76" i="1"/>
  <c r="AC78" i="1"/>
  <c r="AC74" i="1"/>
</calcChain>
</file>

<file path=xl/comments1.xml><?xml version="1.0" encoding="utf-8"?>
<comments xmlns="http://schemas.openxmlformats.org/spreadsheetml/2006/main">
  <authors>
    <author>Андрей Щербаков</author>
  </authors>
  <commentList>
    <comment ref="B8" author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text>
        <r>
          <rPr>
            <sz val="9"/>
            <color indexed="81"/>
            <rFont val="Tahoma"/>
            <family val="2"/>
            <charset val="204"/>
          </rPr>
          <t xml:space="preserve">Выбрать:
</t>
        </r>
      </text>
    </comment>
    <comment ref="F8" authorId="0">
      <text>
        <r>
          <rPr>
            <sz val="9"/>
            <color indexed="81"/>
            <rFont val="Tahoma"/>
            <family val="2"/>
            <charset val="204"/>
          </rPr>
          <t>Выбрать</t>
        </r>
        <r>
          <rPr>
            <b/>
            <sz val="9"/>
            <color indexed="81"/>
            <rFont val="Tahoma"/>
            <family val="2"/>
            <charset val="204"/>
          </rPr>
          <t xml:space="preserve">:
</t>
        </r>
      </text>
    </comment>
    <comment ref="G8" authorId="0">
      <text>
        <r>
          <rPr>
            <sz val="9"/>
            <color indexed="81"/>
            <rFont val="Tahoma"/>
            <family val="2"/>
            <charset val="204"/>
          </rPr>
          <t>Выбрать:</t>
        </r>
      </text>
    </comment>
  </commentList>
</comments>
</file>

<file path=xl/comments3.xml><?xml version="1.0" encoding="utf-8"?>
<comments xmlns="http://schemas.openxmlformats.org/spreadsheetml/2006/main">
  <authors>
    <author>Ангиограф Экстренный</author>
  </authors>
  <commentList>
    <comment ref="A3" authorId="0">
      <text>
        <r>
          <rPr>
            <sz val="9"/>
            <color indexed="81"/>
            <rFont val="Tahoma"/>
            <family val="2"/>
            <charset val="204"/>
          </rPr>
          <t xml:space="preserve">Скопировать ячейку:
</t>
        </r>
        <r>
          <rPr>
            <b/>
            <sz val="9"/>
            <color indexed="81"/>
            <rFont val="Tahoma"/>
            <family val="2"/>
            <charset val="204"/>
          </rPr>
          <t>Ctrl+C</t>
        </r>
        <r>
          <rPr>
            <sz val="9"/>
            <color indexed="81"/>
            <rFont val="Tahoma"/>
            <family val="2"/>
            <charset val="204"/>
          </rPr>
          <t xml:space="preserve">
-----------------------------
Вставить в 1С:
</t>
        </r>
        <r>
          <rPr>
            <b/>
            <sz val="9"/>
            <color indexed="81"/>
            <rFont val="Tahoma"/>
            <family val="2"/>
            <charset val="204"/>
          </rPr>
          <t>Ctrl+V</t>
        </r>
        <r>
          <rPr>
            <sz val="9"/>
            <color indexed="81"/>
            <rFont val="Tahoma"/>
            <family val="2"/>
            <charset val="204"/>
          </rPr>
          <t xml:space="preserve">
</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<sst xmlns="http://schemas.openxmlformats.org/spreadsheetml/2006/main" count="894" uniqueCount="545">
  <si>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</si>
  <si>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</si>
  <si>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</si>
  <si>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</si>
  <si>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</si>
  <si>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</si>
  <si>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</si>
  <si>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</si>
  <si>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</si>
  <si>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</si>
  <si>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</si>
  <si>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</si>
  <si>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</si>
  <si>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</si>
  <si>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</si>
  <si>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</si>
  <si>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</si>
  <si>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</si>
  <si>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</si>
  <si>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</si>
  <si>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</si>
  <si>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</si>
  <si>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</si>
  <si>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</si>
  <si>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</si>
  <si>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</si>
  <si>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</si>
  <si>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</si>
  <si>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</si>
  <si>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</si>
  <si>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</si>
  <si>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</si>
  <si>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</si>
  <si>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</si>
  <si>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</si>
  <si>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</si>
  <si>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</si>
  <si>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</si>
  <si>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</si>
  <si>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</si>
  <si>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</si>
  <si>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</si>
  <si>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</si>
  <si>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</si>
  <si>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</si>
  <si>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</si>
  <si>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</si>
  <si>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</si>
  <si>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</si>
  <si>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</si>
  <si>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</si>
  <si>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</si>
  <si>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</si>
  <si>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</si>
  <si>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</si>
  <si>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</si>
  <si>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</si>
  <si>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</si>
  <si>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</si>
  <si>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</si>
  <si>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</si>
  <si>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</si>
  <si>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</si>
  <si>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</si>
  <si>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</si>
  <si>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</si>
  <si>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</si>
  <si>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</si>
  <si>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</si>
  <si>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</si>
  <si>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</si>
  <si>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</si>
  <si>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</si>
  <si>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</si>
  <si>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</si>
  <si>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</si>
  <si>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</si>
  <si>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</si>
  <si>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</si>
  <si>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</si>
  <si>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</si>
  <si>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</si>
  <si>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</si>
  <si>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</si>
  <si>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</si>
  <si>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</si>
  <si>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</si>
  <si>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</si>
  <si>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</si>
  <si>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</si>
  <si>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</si>
  <si>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</si>
  <si>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</si>
  <si>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</si>
  <si>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</si>
  <si>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</si>
  <si>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</si>
  <si>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</si>
  <si>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</si>
  <si>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</si>
  <si>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</si>
  <si>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</si>
  <si>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</si>
  <si>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</si>
  <si>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</si>
  <si>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</si>
  <si>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</si>
  <si>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</si>
  <si>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</si>
  <si>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</si>
  <si>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</si>
  <si>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</si>
  <si>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</si>
  <si>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</si>
  <si>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</si>
  <si>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</si>
  <si>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</si>
  <si>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</si>
  <si>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</si>
  <si>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</si>
  <si>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</si>
  <si>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</si>
  <si>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</si>
  <si>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</si>
  <si>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</si>
  <si>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</si>
  <si>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</si>
  <si>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</si>
  <si>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</si>
  <si>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Тип</t>
  </si>
  <si>
    <t>Размеры</t>
  </si>
  <si>
    <t>ИБС</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</si>
  <si>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</si>
  <si>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</si>
  <si>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</si>
  <si>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</si>
  <si>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</si>
  <si>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</si>
  <si>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</si>
  <si>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</si>
  <si>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</si>
  <si>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</si>
  <si>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</si>
  <si>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</si>
  <si>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</si>
  <si>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</si>
  <si>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</si>
  <si>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</si>
  <si>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</si>
  <si>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</si>
  <si>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</si>
  <si>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</si>
  <si>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</si>
  <si>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</si>
  <si>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</si>
  <si>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</si>
  <si>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</si>
  <si>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</si>
  <si>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</si>
  <si>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</si>
  <si>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</si>
  <si>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</si>
  <si>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</si>
  <si>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</si>
  <si>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</si>
  <si>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</si>
  <si>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</si>
  <si>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</si>
  <si>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</si>
  <si>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</si>
  <si>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</si>
  <si>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</si>
  <si>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</si>
  <si>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</si>
  <si>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</si>
  <si>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</si>
  <si>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</si>
  <si>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</si>
  <si>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</si>
  <si>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</si>
  <si>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</si>
  <si>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</si>
  <si>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</si>
  <si>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</si>
  <si>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</si>
  <si>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</si>
  <si>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</si>
  <si>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</si>
  <si>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</si>
  <si>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</si>
  <si>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</si>
  <si>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</si>
  <si>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</si>
  <si>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</si>
  <si>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</si>
  <si>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</si>
  <si>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</si>
  <si>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</si>
  <si>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</si>
  <si>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</si>
  <si>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</si>
  <si>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</si>
  <si>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</si>
  <si>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</si>
  <si>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</si>
  <si>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</si>
  <si>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</si>
  <si>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</si>
  <si>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</si>
  <si>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</si>
  <si>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</si>
  <si>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</si>
  <si>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</si>
  <si>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</si>
  <si>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</si>
  <si>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</si>
  <si>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</si>
  <si>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</si>
  <si>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</si>
  <si>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</si>
  <si>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</si>
  <si>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</si>
  <si>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</si>
  <si>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</si>
  <si>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</si>
  <si>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</si>
  <si>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</si>
  <si>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</si>
  <si>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</si>
  <si>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</si>
  <si>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</si>
  <si>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</si>
  <si>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</si>
  <si>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</si>
  <si>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</si>
  <si>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</si>
  <si>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</si>
  <si>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</si>
  <si>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</si>
  <si>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</si>
  <si>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</si>
  <si>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</si>
  <si>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</si>
  <si>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</si>
  <si>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</si>
  <si>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</si>
  <si>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</si>
  <si>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</si>
  <si>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</si>
  <si>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</si>
  <si>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</si>
  <si>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</si>
  <si>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</si>
  <si>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</si>
  <si>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</si>
  <si>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</si>
  <si>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</si>
  <si>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</si>
  <si>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</si>
  <si>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</si>
  <si>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</si>
  <si>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</si>
  <si>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</si>
  <si>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</si>
  <si>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</si>
  <si>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</si>
  <si>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</si>
  <si>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</si>
  <si>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</si>
  <si>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</si>
  <si>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</si>
  <si>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</si>
  <si>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</si>
  <si>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</si>
  <si>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Белугина Н.М.</t>
  </si>
  <si>
    <t>Синицина И.А.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</si>
  <si>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</si>
  <si>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</si>
  <si>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</si>
  <si>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</si>
  <si>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</si>
  <si>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</si>
  <si>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</si>
  <si>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</si>
  <si>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</si>
  <si>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</si>
  <si>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</si>
  <si>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</si>
  <si>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</si>
  <si>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</si>
  <si>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</si>
  <si>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</si>
  <si>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</si>
  <si>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</si>
  <si>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</si>
  <si>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</si>
  <si>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</si>
  <si>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</si>
  <si>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</si>
  <si>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</si>
  <si>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</si>
  <si>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</si>
  <si>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М/С-анестезист</t>
  </si>
  <si>
    <t>Бородкина С.А.</t>
  </si>
  <si>
    <t>ВМП 1</t>
  </si>
  <si>
    <t>Индефлятор</t>
  </si>
  <si>
    <t>NC Euphora</t>
  </si>
  <si>
    <t>Диагностический проводник</t>
  </si>
  <si>
    <t>DES</t>
  </si>
  <si>
    <t>Hunter® 6F</t>
  </si>
  <si>
    <t>ОКС БПST</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</si>
  <si>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</si>
  <si>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</si>
  <si>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</si>
  <si>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</si>
  <si>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</si>
  <si>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</si>
  <si>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</si>
  <si>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</si>
  <si>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</si>
  <si>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</si>
  <si>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</si>
  <si>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</si>
  <si>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</si>
  <si>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</si>
  <si>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</si>
  <si>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</si>
  <si>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</si>
  <si>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</si>
  <si>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</si>
  <si>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</si>
  <si>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</si>
  <si>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</si>
  <si>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</si>
  <si>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</si>
  <si>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</si>
  <si>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</si>
  <si>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</si>
  <si>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Launcher 7F JL 4.0</t>
  </si>
  <si>
    <t>Launcher 7F JL 3.5</t>
  </si>
  <si>
    <t>Анохин В.С.</t>
  </si>
  <si>
    <t>Cougar XT Hydro-Track®</t>
  </si>
  <si>
    <t>Telescope ™ II 6F</t>
  </si>
  <si>
    <t>DES, NanoMed</t>
  </si>
  <si>
    <t>DES, Calipso</t>
  </si>
  <si>
    <t>Проводник коронарный  1g, Angioline</t>
  </si>
  <si>
    <t>Повтор</t>
  </si>
  <si>
    <t>А.М. Казанцева</t>
  </si>
  <si>
    <t xml:space="preserve">А.А. Нефёдова </t>
  </si>
  <si>
    <t>Launcher 6F AL 1</t>
  </si>
  <si>
    <t>Launcher 6F AL 2</t>
  </si>
  <si>
    <t>Нистратов А.В.</t>
  </si>
  <si>
    <t>Runthrough NS (Floppy)</t>
  </si>
  <si>
    <t>Dolphin</t>
  </si>
  <si>
    <t xml:space="preserve">Наименование </t>
  </si>
  <si>
    <t>Наименование</t>
  </si>
  <si>
    <t>DES, Yukon Chrome PC</t>
  </si>
  <si>
    <t>SubMarine Rapido, Invatec</t>
  </si>
  <si>
    <t>Runthrough NS Intermediate</t>
  </si>
  <si>
    <t>Runthrough NS Hypercoat</t>
  </si>
  <si>
    <t>Winn 200T</t>
  </si>
  <si>
    <t>BasixTOUCH</t>
  </si>
  <si>
    <t>Соболев Д.А.</t>
  </si>
  <si>
    <t>Шатунова А.И.</t>
  </si>
  <si>
    <t>RadiFocus</t>
  </si>
  <si>
    <t>Дибиров М.А.</t>
  </si>
  <si>
    <t>Perouse Medical FLAMINGO</t>
  </si>
  <si>
    <t>Фисура О.И.</t>
  </si>
  <si>
    <t xml:space="preserve">Medtronic Export Advance </t>
  </si>
  <si>
    <r>
      <t xml:space="preserve">Выполнение </t>
    </r>
    <r>
      <rPr>
        <b/>
        <u/>
        <sz val="9"/>
        <color theme="1"/>
        <rFont val="Berlin Sans FB Demi"/>
        <family val="2"/>
      </rPr>
      <t>МРТ</t>
    </r>
    <r>
      <rPr>
        <sz val="9"/>
        <color theme="1"/>
        <rFont val="Berlin Sans FB Demi"/>
        <family val="2"/>
      </rPr>
      <t xml:space="preserve"> возможно при индукции статического магнитного поля 1,5-3Тл; пространственного градиента поля не более 1000г/см, максимального среднего для всего тела значения удельной скорости поглощения излучения (SAR) 2,0 Вт/кг при  сканировании в течение 15 минут</t>
    </r>
  </si>
  <si>
    <t>Sion Blue</t>
  </si>
  <si>
    <t>Fielder XT-A</t>
  </si>
  <si>
    <t>Fielder XT-R</t>
  </si>
  <si>
    <t>Колибри</t>
  </si>
  <si>
    <t>Lepu Medical</t>
  </si>
  <si>
    <t xml:space="preserve">Заведующий отделения: Д.В. Карчевский </t>
  </si>
  <si>
    <t>Sion Black</t>
  </si>
  <si>
    <t xml:space="preserve">1. Необходимости экстренного ЧКВ в бассейне__________     </t>
  </si>
  <si>
    <t xml:space="preserve">4.Консервативная терапия.  </t>
  </si>
  <si>
    <t>5. Экстренная реваскуляризация нецелесообразна</t>
  </si>
  <si>
    <t xml:space="preserve">С учетом клинической картины, результатов неинвазивных исследований, данных КАГ, коллегиально с дежурным кардиологом_____________________ принято решение о:      </t>
  </si>
  <si>
    <t xml:space="preserve">2. Осмотр кардиохирурга для решения вопроса о КШ             </t>
  </si>
  <si>
    <t xml:space="preserve">3. Решение вопроса о необходимости реваскуляризации после дообследования. </t>
  </si>
  <si>
    <t>DES, Resolute Onyx</t>
  </si>
  <si>
    <t>DES, Firehawk</t>
  </si>
  <si>
    <t>Продолжительность:</t>
  </si>
  <si>
    <t>мЗв/mSv</t>
  </si>
  <si>
    <t>Описание оперативного вмешательства</t>
  </si>
  <si>
    <t>м/а</t>
  </si>
  <si>
    <t>Вид анест.пособия:</t>
  </si>
  <si>
    <t>Осложнения:</t>
  </si>
  <si>
    <t>Кровопотеря:</t>
  </si>
  <si>
    <t>НЕТ</t>
  </si>
  <si>
    <t>Имплантированные медицинские изделия:</t>
  </si>
  <si>
    <t>СТЕНТ/Ы</t>
  </si>
  <si>
    <t>________</t>
  </si>
  <si>
    <t xml:space="preserve">NC Колибри </t>
  </si>
  <si>
    <t>Total Time</t>
  </si>
  <si>
    <t xml:space="preserve">Транслюминальная баллонная ангиопластика коронарных артерий. </t>
  </si>
  <si>
    <t>Total DAP,  µGy∙m²</t>
  </si>
  <si>
    <t>1,5 - 12</t>
  </si>
  <si>
    <t>1,5 - 15</t>
  </si>
  <si>
    <t>1,5 - 20</t>
  </si>
  <si>
    <t>2,0 - 12</t>
  </si>
  <si>
    <t>2,0 - 15</t>
  </si>
  <si>
    <t>2,25 - 15</t>
  </si>
  <si>
    <t>2,25 - 20</t>
  </si>
  <si>
    <t>2,5 - 12</t>
  </si>
  <si>
    <t>2,5 - 15</t>
  </si>
  <si>
    <t>2,75 - 15</t>
  </si>
  <si>
    <t>3,0 - 6</t>
  </si>
  <si>
    <t>3,0 - 8</t>
  </si>
  <si>
    <t>3,0 - 12</t>
  </si>
  <si>
    <t>3,0 - 15</t>
  </si>
  <si>
    <t>3,5 - 6</t>
  </si>
  <si>
    <t>3,5 - 8</t>
  </si>
  <si>
    <t>3,5 - 12</t>
  </si>
  <si>
    <t>3,5 - 15</t>
  </si>
  <si>
    <t>3,75 - 8</t>
  </si>
  <si>
    <t>3,75 - 15</t>
  </si>
  <si>
    <t>4,0 - 6</t>
  </si>
  <si>
    <t>4,0 - 8</t>
  </si>
  <si>
    <t>4,0 - 10</t>
  </si>
  <si>
    <t>4,0 - 12</t>
  </si>
  <si>
    <t>4,0 - 15</t>
  </si>
  <si>
    <t>4,5 - 6</t>
  </si>
  <si>
    <t>4,5 - 8</t>
  </si>
  <si>
    <t>4,5 - 12</t>
  </si>
  <si>
    <t>4,5 - 15</t>
  </si>
  <si>
    <t>5,0 - 6</t>
  </si>
  <si>
    <t>5,0 - 8</t>
  </si>
  <si>
    <t>5,0 - 20</t>
  </si>
  <si>
    <t>2,25 - 18</t>
  </si>
  <si>
    <t>2,25 - 21</t>
  </si>
  <si>
    <t>2,25 - 22</t>
  </si>
  <si>
    <t>2,25 - 28</t>
  </si>
  <si>
    <t>2,5 - 18</t>
  </si>
  <si>
    <t>2,5 - 21</t>
  </si>
  <si>
    <t>2,5 - 22</t>
  </si>
  <si>
    <t>2,5 - 24</t>
  </si>
  <si>
    <t>2,5 - 26</t>
  </si>
  <si>
    <t>2,5 - 28</t>
  </si>
  <si>
    <t>2,5 - 30</t>
  </si>
  <si>
    <t>2,5 - 32</t>
  </si>
  <si>
    <t>2,5 - 34</t>
  </si>
  <si>
    <t>2,5 - 38</t>
  </si>
  <si>
    <t>2,75 - 18</t>
  </si>
  <si>
    <t>2,75 - 22</t>
  </si>
  <si>
    <t>2,75 - 24</t>
  </si>
  <si>
    <t>2,75 - 26</t>
  </si>
  <si>
    <t>2,75 - 28</t>
  </si>
  <si>
    <t>2,75 - 30</t>
  </si>
  <si>
    <t>2,75 - 32</t>
  </si>
  <si>
    <t>3,0 - 18</t>
  </si>
  <si>
    <t>3,0 - 22</t>
  </si>
  <si>
    <t>3,0 - 26</t>
  </si>
  <si>
    <t>3,0 - 28</t>
  </si>
  <si>
    <t>3,0 - 30</t>
  </si>
  <si>
    <t>3,0 - 32</t>
  </si>
  <si>
    <t>3,0 - 34</t>
  </si>
  <si>
    <t>3,0 - 38</t>
  </si>
  <si>
    <t>3,5 - 9</t>
  </si>
  <si>
    <t>3,5 - 14</t>
  </si>
  <si>
    <t>3,5 - 18</t>
  </si>
  <si>
    <t>3,5 - 22</t>
  </si>
  <si>
    <t>3,5 - 24</t>
  </si>
  <si>
    <t>3,5 - 26</t>
  </si>
  <si>
    <t>3,5 - 28</t>
  </si>
  <si>
    <t>3,5 - 30</t>
  </si>
  <si>
    <t>3,5 - 32</t>
  </si>
  <si>
    <t>3,5 - 34</t>
  </si>
  <si>
    <t>3,5 - 38</t>
  </si>
  <si>
    <t>4,0 - 9</t>
  </si>
  <si>
    <t>4,0 - 18</t>
  </si>
  <si>
    <t>4,0 - 22</t>
  </si>
  <si>
    <t>4,0 - 26</t>
  </si>
  <si>
    <t>4,0 - 28</t>
  </si>
  <si>
    <t>4,0 - 30</t>
  </si>
  <si>
    <t>4,0 - 34</t>
  </si>
  <si>
    <t>4,0 - 38</t>
  </si>
  <si>
    <t>4,5 - 9</t>
  </si>
  <si>
    <t>4,5 - 18</t>
  </si>
  <si>
    <t>4,5 - 22</t>
  </si>
  <si>
    <t>ОКС с ↑ ST</t>
  </si>
  <si>
    <t>Код модели</t>
  </si>
  <si>
    <t>Код метода</t>
  </si>
  <si>
    <t>Другое</t>
  </si>
  <si>
    <t>BMS</t>
  </si>
  <si>
    <t>4,5 - 10</t>
  </si>
  <si>
    <t>5,0 - 10</t>
  </si>
  <si>
    <t>3,0 - 10</t>
  </si>
  <si>
    <t>2,0 - 18</t>
  </si>
  <si>
    <t>АБР</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</si>
  <si>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</si>
  <si>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</si>
  <si>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 полимерным покрытием</t>
  </si>
  <si>
    <t>Катетер баллонный для коронарной ангиопластики, стандартный</t>
  </si>
  <si>
    <t>Катетер баллонный для коронарной ангиопластики, выделяющий лекарственное средство</t>
  </si>
  <si>
    <t>Код НК МИ</t>
  </si>
  <si>
    <t>Стент для коронарных артерий выделяющий лекарственное средство, полностью рассасывающийся</t>
  </si>
  <si>
    <t>DEB</t>
  </si>
  <si>
    <t>План оперативного вмешательства:</t>
  </si>
  <si>
    <t>Прудникова Ю.А.</t>
  </si>
  <si>
    <t>Demax</t>
  </si>
  <si>
    <t>Соболева Ю.А.</t>
  </si>
  <si>
    <t>"МИМ". Тюмень</t>
  </si>
  <si>
    <t xml:space="preserve">Balancium </t>
  </si>
  <si>
    <t>Поток CTЗ по ТУ</t>
  </si>
  <si>
    <t>Проводник коронарный  0,8g, Angioline</t>
  </si>
  <si>
    <t>Asahi Gaia First</t>
  </si>
  <si>
    <t>Asahi Gaia Second</t>
  </si>
  <si>
    <t>Asahi Gaia Third</t>
  </si>
  <si>
    <t>NC АКСИОМА</t>
  </si>
  <si>
    <t>Н.Б. Шишкина</t>
  </si>
  <si>
    <t>Старшая мед.сетра: Н.Б. Шишкина</t>
  </si>
  <si>
    <t>DES, Калипсо</t>
  </si>
  <si>
    <t>Meril Evermine50™</t>
  </si>
  <si>
    <t>Abbot Whisper MS</t>
  </si>
  <si>
    <t>Abbot Whisper LS</t>
  </si>
  <si>
    <t>Pilot 150, 190 cm</t>
  </si>
  <si>
    <t>Pilot 150, 300 cm</t>
  </si>
  <si>
    <t>Медведева А.Ю.</t>
  </si>
  <si>
    <t>Вольхин М.В.</t>
  </si>
  <si>
    <t>Извлечён</t>
  </si>
  <si>
    <t>DES, Metafor</t>
  </si>
  <si>
    <t>Shunmei 0,6</t>
  </si>
  <si>
    <t>Shunmei 0,7</t>
  </si>
  <si>
    <t>Artimes</t>
  </si>
  <si>
    <t>Apollo</t>
  </si>
  <si>
    <t>23:30</t>
  </si>
  <si>
    <t>100 ml</t>
  </si>
  <si>
    <t>450 ml</t>
  </si>
  <si>
    <t xml:space="preserve">Устье ствола  катетеризировано проводниковым катетером Launcher ebu 4.0 6Fr. Коронарный проводник shunmei 0.7 проведены  в дистальный сегмент ДВ и ПНА. В дальнейшем проводники заменены на sion (2 шт). В зону среднего сегмента имплантирован DES Resolute Integrity 2.75-30, давлением 14 атм. На контрольной съёмке  устье ДВ скомпрометировано до 99%-кровоток по ДВ TIMI I, зона средней трети (зона бифуркации) стента раскрыта не полностью, остаточный стеноз до 50%. Рекроссинг проводников. Устье ДВ с техническими сложностями удалось дилатировать БК Artimes 1.25-20 и Колибри 1.5-10, антеградный кровоток по ДВ восстановлен.  В зону проксимального сегмента с оверлаппингом имплантирован DES Resolute Integrity 2.75-26, давлением 16 атм. Далее в ДВ проведён БК Artimes 1.25-20 (для защиты). При проведении БК Accuforce 3.25-6 в средний сегмент ПНА для выполнения постдилатации и оптимизации стента  среднего сегмента произошел обрыв фрагмента системы доставки от бК Artimes 1.25-20. Сложные и длительны попытки извлечения системы доставки из коронарных арт. Фрагмент доставки успешно извлечен. При извлечении системы доставки коронарный проводник sion перфорировал одну из конц.ветвей дистального сегмента ДВ. Степень перфорции Ellis 3. Принято решение в пользу экстренной эмболизации дистального сегмента ДВ адгезионным материалом через  катетер Medtronic Export Advance, последний успешно проведен до дистального сегмента ДВ, а устье ДВ предварительно дилатировано  Artimes 2.25-15.  На контрольных съёмках успешная эмболизация,   активного кровотечения нет, перфорированное отверстие закрыто. Далее, БК Accuforce 3.25-6, давлением до 16 атм.  выпонена успешная постдилатация и оптимизация стентов среднего и проксимального сегментов.  На контроьных съёмках стенты раскрыты удовлетворительно, признаков краевых диссекций ПНА и тромбоза нет, активной экстравазации контрастного вещества не выявлено, кровоток  по ПНА -TIMI III, по ДВ до дистального сегмента - TIMI II. Пациент в стабильном состоянии транспортируется в ПРИТ для дальнейшего наблюдения и лечения. </t>
  </si>
  <si>
    <r>
      <t xml:space="preserve">Интраоперационно экстренно вызваны  кардиохирург, вр. УЗИ. С учётом малого выпота, отсутствия признаков томпонады сердца, стабильной гемодинамики совместно с деж.кардиохирургом принято решение воздержаться от пункции перикарда. </t>
    </r>
    <r>
      <rPr>
        <u/>
        <sz val="10"/>
        <color theme="1"/>
        <rFont val="Calibri"/>
        <family val="2"/>
        <charset val="204"/>
        <scheme val="minor"/>
      </rPr>
      <t xml:space="preserve">Рекомендовано: </t>
    </r>
    <r>
      <rPr>
        <sz val="10"/>
        <color theme="1"/>
        <rFont val="Calibri"/>
        <family val="2"/>
        <charset val="204"/>
        <scheme val="minor"/>
      </rPr>
      <t>контроль места пункции, повязка на руке до 7-8 ч, набюдение кардиохирурга, контроль ЭХО на 02.03.25.</t>
    </r>
  </si>
  <si>
    <t>Оставлен</t>
  </si>
  <si>
    <t>лучевой</t>
  </si>
  <si>
    <t>Козьмин П.Н.</t>
  </si>
  <si>
    <t>стеноз дистальной трети 50%</t>
  </si>
  <si>
    <t>Левый</t>
  </si>
  <si>
    <t>стеноз проксимального сегмента 50%, TIMI III</t>
  </si>
  <si>
    <t>хроническая оккюзия от устья, TIMI 0</t>
  </si>
  <si>
    <t>С учетом клинической картины, результатов неинвазивных исселедований, результатов КАГ коллегиально с деж. кардиологом принято решение в пользу консервативной стратегии.</t>
  </si>
  <si>
    <t>гипоплазия, диффузно поражена, без значимых стенозом, TIMI III</t>
  </si>
  <si>
    <t>4:48</t>
  </si>
  <si>
    <t>МКШ контрастируется, слабое контрастирование дистального сегмента ПНА по причине катеризациии на уровне 1 сег лев Пкл.А.</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</si>
</sst>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_-;\-* #,##0_-;_-* &quot;-&quot;_-;_-@_-"/>
    <numFmt numFmtId="165" formatCode="[$-F800]dddd\,\ mmmm\ dd\,\ yyyy"/>
    <numFmt numFmtId="166" formatCode="h:mm;@"/>
    <numFmt numFmtId="167" formatCode=";;;"/>
  </numFmts>
  <fonts count="7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u/>
      <sz val="10"/>
      <color theme="1"/>
      <name val="Calibri"/>
      <family val="2"/>
      <charset val="204"/>
      <scheme val="minor"/>
    </font>
    <font>
      <sz val="9"/>
      <color theme="1"/>
      <name val="Berlin Sans FB Demi"/>
      <family val="2"/>
    </font>
    <font>
      <b/>
      <u/>
      <sz val="9"/>
      <color theme="1"/>
      <name val="Berlin Sans FB Demi"/>
      <family val="2"/>
    </font>
    <font>
      <sz val="11"/>
      <color theme="1"/>
      <name val="Arial Narrow"/>
      <family val="2"/>
      <charset val="204"/>
    </font>
    <font>
      <b/>
      <sz val="10"/>
      <color rgb="FF202122"/>
      <name val="Times New Roman"/>
      <family val="1"/>
      <charset val="204"/>
    </font>
    <font>
      <b/>
      <sz val="14"/>
      <color theme="1"/>
      <name val="Calibri"/>
      <family val="2"/>
      <charset val="204"/>
      <scheme val="minor"/>
    </font>
    <font>
      <b/>
      <sz val="12"/>
      <color theme="1"/>
      <name val="Calibri Light"/>
      <family val="2"/>
      <charset val="204"/>
      <scheme val="major"/>
    </font>
    <font>
      <b/>
      <sz val="11"/>
      <color theme="1"/>
      <name val="Calibri Light"/>
      <family val="2"/>
      <charset val="204"/>
      <scheme val="major"/>
    </font>
    <font>
      <u/>
      <sz val="11"/>
      <color theme="1"/>
      <name val="Times New Roman"/>
      <family val="1"/>
      <charset val="204"/>
    </font>
    <font>
      <sz val="10.5"/>
      <color theme="1"/>
      <name val="Calibri"/>
      <family val="2"/>
      <charset val="204"/>
      <scheme val="minor"/>
    </font>
    <font>
      <sz val="11"/>
      <color theme="1"/>
      <name val="Aharoni"/>
      <charset val="177"/>
    </font>
    <font>
      <sz val="8"/>
      <color theme="1"/>
      <name val="Calibri"/>
      <family val="2"/>
      <charset val="204"/>
      <scheme val="minor"/>
    </font>
  </fonts>
  <fills count="14">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
      <patternFill patternType="solid">
        <fgColor theme="8" tint="0.79998168889431442"/>
        <bgColor indexed="64"/>
      </patternFill>
    </fill>
    <fill>
      <patternFill patternType="solid">
        <fgColor rgb="FFFF7C80"/>
        <bgColor indexed="64"/>
      </patternFill>
    </fill>
    <fill>
      <patternFill patternType="solid">
        <fgColor theme="0" tint="-0.14999847407452621"/>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9" fillId="3" borderId="0" applyNumberFormat="0" applyBorder="0" applyAlignment="0" applyProtection="0"/>
    <xf numFmtId="164" fontId="9" fillId="3" borderId="0" applyNumberFormat="0" applyFill="0" applyAlignment="0"/>
    <xf numFmtId="0" fontId="13" fillId="0" borderId="0"/>
    <xf numFmtId="0" fontId="8" fillId="6" borderId="0" applyNumberFormat="0" applyBorder="0" applyAlignment="0" applyProtection="0"/>
    <xf numFmtId="0" fontId="8" fillId="7" borderId="0" applyNumberFormat="0" applyBorder="0" applyAlignment="0" applyProtection="0"/>
    <xf numFmtId="0" fontId="7" fillId="8" borderId="0" applyNumberFormat="0" applyBorder="0" applyAlignment="0" applyProtection="0"/>
    <xf numFmtId="0" fontId="47" fillId="9" borderId="21" applyNumberFormat="0" applyAlignment="0" applyProtection="0"/>
  </cellStyleXfs>
  <cellXfs count="255">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fill" vertical="center"/>
    </xf>
    <xf numFmtId="0" fontId="0" fillId="0" borderId="0" xfId="0" applyAlignment="1">
      <alignment vertical="center"/>
    </xf>
    <xf numFmtId="0" fontId="0" fillId="0" borderId="2"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8" fillId="7" borderId="5" xfId="5" applyBorder="1" applyAlignment="1">
      <alignment horizontal="centerContinuous" vertical="center"/>
    </xf>
    <xf numFmtId="0" fontId="8"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Alignment="1" applyProtection="1">
      <alignment vertical="center"/>
      <protection locked="0"/>
    </xf>
    <xf numFmtId="0" fontId="15" fillId="0" borderId="0" xfId="0" applyFont="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Alignment="1">
      <alignment vertical="distributed"/>
    </xf>
    <xf numFmtId="20" fontId="0" fillId="0" borderId="0" xfId="0" applyNumberFormat="1" applyAlignment="1">
      <alignment horizontal="left"/>
    </xf>
    <xf numFmtId="20" fontId="0" fillId="0" borderId="0" xfId="0" applyNumberFormat="1" applyAlignment="1">
      <alignment horizontal="lef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Alignment="1" applyProtection="1">
      <alignment horizontal="left" vertical="center"/>
      <protection locked="0"/>
    </xf>
    <xf numFmtId="0" fontId="0" fillId="0" borderId="14" xfId="0" applyBorder="1"/>
    <xf numFmtId="0" fontId="34" fillId="0" borderId="12" xfId="0" applyFont="1" applyBorder="1"/>
    <xf numFmtId="0" fontId="0" fillId="0" borderId="0" xfId="0" applyProtection="1">
      <protection locked="0"/>
    </xf>
    <xf numFmtId="165" fontId="15" fillId="0" borderId="7" xfId="0" applyNumberFormat="1" applyFont="1" applyBorder="1" applyAlignment="1">
      <alignment horizontal="left" vertical="center"/>
    </xf>
    <xf numFmtId="0" fontId="15" fillId="0" borderId="7" xfId="0" applyFont="1" applyBorder="1" applyAlignment="1">
      <alignment horizontal="left" vertical="center"/>
    </xf>
    <xf numFmtId="0" fontId="27" fillId="0" borderId="0" xfId="0" applyFont="1" applyAlignment="1">
      <alignment horizontal="centerContinuous" vertical="top" wrapText="1"/>
    </xf>
    <xf numFmtId="0" fontId="15" fillId="0" borderId="0" xfId="0" applyFont="1" applyAlignment="1" applyProtection="1">
      <alignment vertical="top" wrapText="1"/>
      <protection locked="0"/>
    </xf>
    <xf numFmtId="0" fontId="15" fillId="0" borderId="0" xfId="0" applyFont="1" applyAlignment="1" applyProtection="1">
      <alignment horizontal="centerContinuous" vertical="top" wrapText="1"/>
      <protection locked="0"/>
    </xf>
    <xf numFmtId="0" fontId="32" fillId="0" borderId="0" xfId="0" applyFont="1" applyAlignment="1">
      <alignment vertical="top"/>
    </xf>
    <xf numFmtId="0" fontId="32" fillId="0" borderId="13" xfId="0" applyFont="1" applyBorder="1" applyAlignment="1">
      <alignment vertical="top"/>
    </xf>
    <xf numFmtId="0" fontId="22" fillId="0" borderId="0" xfId="0" applyFont="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Alignment="1" applyProtection="1">
      <alignment horizontal="left"/>
      <protection locked="0"/>
    </xf>
    <xf numFmtId="0" fontId="44" fillId="0" borderId="0" xfId="0" applyFont="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Alignment="1">
      <alignment horizontal="left" vertical="center"/>
    </xf>
    <xf numFmtId="0" fontId="35" fillId="0" borderId="13" xfId="0" applyFont="1" applyBorder="1" applyAlignment="1" applyProtection="1">
      <alignment horizontal="left"/>
      <protection locked="0"/>
    </xf>
    <xf numFmtId="0" fontId="35" fillId="0" borderId="0" xfId="0" applyFont="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15" fillId="0" borderId="9" xfId="0" applyFont="1" applyBorder="1" applyAlignment="1">
      <alignment vertical="center"/>
    </xf>
    <xf numFmtId="0" fontId="15" fillId="0" borderId="7" xfId="0" applyFont="1" applyBorder="1" applyAlignment="1">
      <alignment vertical="center"/>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Alignment="1">
      <alignment horizontal="centerContinuous"/>
    </xf>
    <xf numFmtId="0" fontId="49" fillId="9" borderId="21" xfId="7" applyFont="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16" fillId="0" borderId="0" xfId="0" applyFont="1" applyAlignment="1">
      <alignment horizontal="center"/>
    </xf>
    <xf numFmtId="0" fontId="49" fillId="9" borderId="21" xfId="7" applyFont="1" applyAlignment="1" applyProtection="1">
      <alignment horizontal="left" vertical="center"/>
    </xf>
    <xf numFmtId="0" fontId="23" fillId="0" borderId="12" xfId="0" applyFont="1" applyBorder="1" applyAlignment="1">
      <alignment horizontal="justify" vertical="center" wrapText="1"/>
    </xf>
    <xf numFmtId="0" fontId="24" fillId="0" borderId="13" xfId="0" applyFont="1" applyBorder="1" applyAlignment="1" applyProtection="1">
      <alignment horizontal="center" vertical="center"/>
      <protection locked="0"/>
    </xf>
    <xf numFmtId="0" fontId="24" fillId="0" borderId="0" xfId="0" applyFont="1" applyAlignment="1" applyProtection="1">
      <alignment horizontal="justify" vertical="center" wrapText="1"/>
      <protection locked="0"/>
    </xf>
    <xf numFmtId="0" fontId="24" fillId="0" borderId="0" xfId="0" applyFont="1" applyAlignment="1" applyProtection="1">
      <alignment vertical="center"/>
      <protection locked="0"/>
    </xf>
    <xf numFmtId="0" fontId="22" fillId="0" borderId="0" xfId="0" applyFont="1" applyAlignment="1" applyProtection="1">
      <alignment horizontal="left" vertical="top" wrapText="1"/>
      <protection locked="0"/>
    </xf>
    <xf numFmtId="0" fontId="22" fillId="0" borderId="0" xfId="0" applyFont="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22" fillId="0" borderId="0" xfId="0" applyFont="1" applyAlignment="1">
      <alignment horizontal="left" vertical="center" wrapText="1"/>
    </xf>
    <xf numFmtId="20" fontId="16" fillId="0" borderId="0" xfId="0" applyNumberFormat="1" applyFont="1" applyAlignment="1" applyProtection="1">
      <alignment vertical="center"/>
      <protection locked="0"/>
    </xf>
    <xf numFmtId="0" fontId="0" fillId="0" borderId="0" xfId="0" applyAlignment="1">
      <alignment vertical="top" wrapText="1"/>
    </xf>
    <xf numFmtId="0" fontId="41" fillId="0" borderId="0" xfId="0" applyFont="1" applyAlignment="1" applyProtection="1">
      <alignment vertical="top" wrapText="1"/>
      <protection locked="0"/>
    </xf>
    <xf numFmtId="0" fontId="53" fillId="0" borderId="0" xfId="0" applyFont="1" applyAlignment="1">
      <alignment vertical="top"/>
    </xf>
    <xf numFmtId="0" fontId="54" fillId="0" borderId="0" xfId="0" applyFont="1" applyAlignment="1">
      <alignment vertical="top"/>
    </xf>
    <xf numFmtId="0" fontId="0" fillId="0" borderId="13" xfId="0" applyBorder="1" applyAlignment="1">
      <alignment vertical="top" wrapText="1"/>
    </xf>
    <xf numFmtId="0" fontId="0" fillId="0" borderId="0" xfId="0" applyAlignment="1" applyProtection="1">
      <alignment vertical="top" wrapText="1"/>
      <protection locked="0"/>
    </xf>
    <xf numFmtId="0" fontId="38" fillId="0" borderId="0" xfId="0" applyFont="1" applyAlignment="1">
      <alignment horizontal="centerContinuous" vertical="center"/>
    </xf>
    <xf numFmtId="0" fontId="50" fillId="0" borderId="0" xfId="0" applyFont="1" applyAlignment="1" applyProtection="1">
      <alignment vertical="top" wrapText="1"/>
      <protection locked="0"/>
    </xf>
    <xf numFmtId="0" fontId="54" fillId="0" borderId="0" xfId="0" applyFont="1" applyAlignment="1">
      <alignment horizontal="centerContinuous" vertical="center" wrapText="1"/>
    </xf>
    <xf numFmtId="0" fontId="0" fillId="0" borderId="0" xfId="0" applyAlignment="1">
      <alignment horizontal="fill" vertical="top"/>
    </xf>
    <xf numFmtId="0" fontId="0" fillId="0" borderId="0" xfId="0" applyAlignment="1">
      <alignment horizontal="fill" vertical="top" wrapText="1"/>
    </xf>
    <xf numFmtId="0" fontId="6"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23" fillId="0" borderId="32" xfId="0" applyFont="1" applyBorder="1" applyAlignment="1">
      <alignment horizontal="justify" vertical="center" wrapText="1"/>
    </xf>
    <xf numFmtId="0" fontId="23" fillId="0" borderId="34" xfId="0" applyFont="1" applyBorder="1" applyAlignment="1">
      <alignment horizontal="justify" vertical="center" wrapText="1"/>
    </xf>
    <xf numFmtId="0" fontId="56" fillId="0" borderId="35" xfId="0" applyFont="1" applyBorder="1" applyAlignment="1" applyProtection="1">
      <alignment horizontal="center" vertical="center"/>
      <protection locked="0"/>
    </xf>
    <xf numFmtId="0" fontId="56" fillId="0" borderId="36" xfId="0" applyFont="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lignment horizont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35" xfId="0" applyFont="1" applyBorder="1" applyAlignment="1" applyProtection="1">
      <alignment horizontal="justify" vertical="center" wrapText="1"/>
      <protection locked="0"/>
    </xf>
    <xf numFmtId="0" fontId="5" fillId="0" borderId="0" xfId="0" applyFont="1"/>
    <xf numFmtId="0" fontId="58" fillId="0" borderId="40" xfId="0" applyFont="1" applyBorder="1" applyProtection="1">
      <protection locked="0"/>
    </xf>
    <xf numFmtId="0" fontId="0" fillId="0" borderId="0" xfId="0" applyAlignment="1">
      <alignment horizontal="center" vertical="top"/>
    </xf>
    <xf numFmtId="0" fontId="16" fillId="0" borderId="0" xfId="0" applyFont="1"/>
    <xf numFmtId="0" fontId="4" fillId="0" borderId="0" xfId="0" applyFont="1"/>
    <xf numFmtId="0" fontId="15" fillId="0" borderId="0" xfId="0" applyFont="1" applyAlignment="1" applyProtection="1">
      <alignment horizontal="justify" vertical="top"/>
      <protection locked="0"/>
    </xf>
    <xf numFmtId="0" fontId="25" fillId="7" borderId="15" xfId="5" applyFont="1" applyBorder="1" applyAlignment="1" applyProtection="1">
      <alignment horizontal="left" vertical="center"/>
    </xf>
    <xf numFmtId="0" fontId="46" fillId="0" borderId="20" xfId="0" applyFont="1" applyBorder="1" applyAlignment="1" applyProtection="1">
      <alignment horizontal="left" vertical="center" wrapText="1"/>
      <protection locked="0"/>
    </xf>
    <xf numFmtId="0" fontId="45" fillId="0" borderId="19" xfId="0" applyFont="1" applyBorder="1" applyAlignment="1">
      <alignment horizontal="left" vertical="center"/>
    </xf>
    <xf numFmtId="0" fontId="16" fillId="0" borderId="19" xfId="0" applyFont="1" applyBorder="1" applyAlignment="1">
      <alignment horizontal="left"/>
    </xf>
    <xf numFmtId="0" fontId="63" fillId="0" borderId="19" xfId="0" applyFont="1" applyBorder="1" applyAlignment="1">
      <alignment horizontal="left" vertical="center"/>
    </xf>
    <xf numFmtId="2" fontId="0" fillId="0" borderId="20" xfId="0" applyNumberFormat="1" applyBorder="1" applyAlignment="1" applyProtection="1">
      <alignment horizontal="left"/>
      <protection hidden="1"/>
    </xf>
    <xf numFmtId="49" fontId="46" fillId="0" borderId="20" xfId="0" applyNumberFormat="1" applyFont="1" applyBorder="1" applyAlignment="1" applyProtection="1">
      <alignment horizontal="left" vertical="center" wrapText="1"/>
      <protection locked="0"/>
    </xf>
    <xf numFmtId="0" fontId="64" fillId="0" borderId="0" xfId="0" applyFont="1" applyAlignment="1">
      <alignment horizontal="centerContinuous" vertical="top" wrapText="1"/>
    </xf>
    <xf numFmtId="0" fontId="64" fillId="0" borderId="13" xfId="0" applyFont="1" applyBorder="1" applyAlignment="1">
      <alignment horizontal="centerContinuous" vertical="top" wrapText="1"/>
    </xf>
    <xf numFmtId="0" fontId="29" fillId="0" borderId="0" xfId="0" applyFont="1" applyAlignment="1" applyProtection="1">
      <alignment horizontal="left"/>
      <protection locked="0"/>
    </xf>
    <xf numFmtId="0" fontId="65" fillId="0" borderId="12" xfId="0" applyFont="1" applyBorder="1" applyAlignment="1" applyProtection="1">
      <alignment vertical="top" wrapText="1"/>
      <protection locked="0"/>
    </xf>
    <xf numFmtId="0" fontId="66" fillId="0" borderId="12" xfId="0" applyFont="1" applyBorder="1" applyAlignment="1">
      <alignment vertical="top" wrapText="1"/>
    </xf>
    <xf numFmtId="0" fontId="0" fillId="0" borderId="0" xfId="0" applyAlignment="1">
      <alignment horizontal="fill"/>
    </xf>
    <xf numFmtId="0" fontId="15" fillId="0" borderId="0" xfId="0" applyFont="1" applyAlignment="1" applyProtection="1">
      <alignment horizontal="fill" vertical="top" wrapText="1"/>
      <protection locked="0"/>
    </xf>
    <xf numFmtId="0" fontId="65" fillId="0" borderId="12" xfId="0" applyFont="1" applyBorder="1" applyAlignment="1">
      <alignment horizontal="fill" vertical="top" wrapText="1"/>
    </xf>
    <xf numFmtId="0" fontId="11" fillId="0" borderId="0" xfId="0" applyFont="1" applyAlignment="1" applyProtection="1">
      <alignment vertical="top" wrapText="1"/>
      <protection locked="0"/>
    </xf>
    <xf numFmtId="0" fontId="67" fillId="0" borderId="0" xfId="0" applyFont="1" applyAlignment="1" applyProtection="1">
      <alignment vertical="top" wrapText="1"/>
      <protection locked="0"/>
    </xf>
    <xf numFmtId="49" fontId="46" fillId="0" borderId="20" xfId="0" applyNumberFormat="1" applyFont="1" applyBorder="1" applyAlignment="1">
      <alignment horizontal="left" vertical="center" wrapText="1"/>
    </xf>
    <xf numFmtId="0" fontId="46" fillId="0" borderId="20" xfId="0" applyFont="1" applyBorder="1" applyAlignment="1">
      <alignment horizontal="left" vertical="center" wrapText="1"/>
    </xf>
    <xf numFmtId="14" fontId="56" fillId="0" borderId="25" xfId="0" applyNumberFormat="1" applyFont="1" applyBorder="1" applyAlignment="1" applyProtection="1">
      <alignment horizontal="center" vertical="center"/>
      <protection locked="0"/>
    </xf>
    <xf numFmtId="0" fontId="64" fillId="0" borderId="12" xfId="0" applyFont="1" applyBorder="1" applyAlignment="1">
      <alignment horizontal="centerContinuous"/>
    </xf>
    <xf numFmtId="0" fontId="18" fillId="0" borderId="0" xfId="0" applyFont="1" applyAlignment="1">
      <alignment horizontal="left"/>
    </xf>
    <xf numFmtId="20" fontId="29" fillId="0" borderId="13" xfId="0" applyNumberFormat="1" applyFont="1" applyBorder="1" applyAlignment="1">
      <alignment horizontal="left" wrapText="1"/>
    </xf>
    <xf numFmtId="0" fontId="15" fillId="0" borderId="13" xfId="0" applyFont="1" applyBorder="1" applyAlignment="1" applyProtection="1">
      <alignment horizontal="fill" vertical="center"/>
      <protection hidden="1"/>
    </xf>
    <xf numFmtId="14" fontId="56" fillId="0" borderId="26" xfId="0" applyNumberFormat="1" applyFont="1" applyBorder="1" applyAlignment="1" applyProtection="1">
      <alignment horizontal="center" vertical="center"/>
      <protection locked="0"/>
    </xf>
    <xf numFmtId="166" fontId="22" fillId="6" borderId="9" xfId="4" applyNumberFormat="1" applyFont="1" applyBorder="1" applyAlignment="1" applyProtection="1">
      <alignment horizontal="left" vertical="center"/>
    </xf>
    <xf numFmtId="0" fontId="0" fillId="0" borderId="0" xfId="0" applyAlignment="1">
      <alignment horizontal="left"/>
    </xf>
    <xf numFmtId="0" fontId="16" fillId="0" borderId="3" xfId="0" applyFont="1" applyBorder="1" applyAlignment="1" applyProtection="1">
      <alignment horizontal="center" vertical="center"/>
      <protection locked="0"/>
    </xf>
    <xf numFmtId="0" fontId="0" fillId="0" borderId="0" xfId="0" applyAlignment="1">
      <alignment horizontal="justify" vertical="distributed" wrapText="1"/>
    </xf>
    <xf numFmtId="0" fontId="37" fillId="0" borderId="8" xfId="0" applyFont="1" applyBorder="1" applyAlignment="1">
      <alignment horizontal="left" vertical="center"/>
    </xf>
    <xf numFmtId="0" fontId="16" fillId="0" borderId="4" xfId="0" applyFont="1" applyBorder="1" applyAlignment="1" applyProtection="1">
      <alignment horizontal="center" vertical="center"/>
      <protection locked="0"/>
    </xf>
    <xf numFmtId="0" fontId="11" fillId="0" borderId="12" xfId="0" applyFont="1" applyBorder="1" applyAlignment="1">
      <alignment horizontal="left"/>
    </xf>
    <xf numFmtId="0" fontId="3" fillId="0" borderId="8" xfId="0" applyFont="1" applyBorder="1"/>
    <xf numFmtId="0" fontId="37" fillId="0" borderId="3" xfId="0" applyFont="1" applyBorder="1" applyAlignment="1">
      <alignment horizontal="left" vertical="center"/>
    </xf>
    <xf numFmtId="0" fontId="0" fillId="0" borderId="0" xfId="0" applyNumberFormat="1" applyAlignment="1">
      <alignment horizontal="center" shrinkToFit="1"/>
    </xf>
    <xf numFmtId="0" fontId="0" fillId="0" borderId="0" xfId="0" applyNumberFormat="1" applyAlignment="1">
      <alignment shrinkToFit="1"/>
    </xf>
    <xf numFmtId="167" fontId="0" fillId="0" borderId="0" xfId="0" applyNumberFormat="1" applyAlignment="1">
      <alignment horizontal="left"/>
    </xf>
    <xf numFmtId="167" fontId="0" fillId="0" borderId="0" xfId="0" applyNumberFormat="1"/>
    <xf numFmtId="0" fontId="27" fillId="8" borderId="18" xfId="6" applyFont="1" applyBorder="1" applyAlignment="1" applyProtection="1">
      <alignment horizontal="left" vertical="center"/>
    </xf>
    <xf numFmtId="0" fontId="0" fillId="0" borderId="0" xfId="0" applyNumberFormat="1"/>
    <xf numFmtId="0" fontId="27" fillId="8" borderId="18" xfId="6" applyFont="1" applyBorder="1" applyAlignment="1" applyProtection="1">
      <alignment horizontal="left" vertical="center"/>
      <protection locked="0"/>
    </xf>
    <xf numFmtId="0" fontId="22" fillId="8" borderId="16" xfId="6" applyFont="1" applyBorder="1" applyAlignment="1" applyProtection="1">
      <alignment horizontal="left" vertical="center"/>
      <protection locked="0"/>
    </xf>
    <xf numFmtId="0" fontId="0" fillId="0" borderId="0" xfId="0" applyBorder="1"/>
    <xf numFmtId="0" fontId="50" fillId="0" borderId="0" xfId="0" applyFont="1" applyBorder="1" applyAlignment="1" applyProtection="1">
      <alignment vertical="top" wrapText="1"/>
      <protection locked="0"/>
    </xf>
    <xf numFmtId="0" fontId="0" fillId="10" borderId="0" xfId="0" applyFill="1" applyAlignment="1">
      <alignment horizontal="left"/>
    </xf>
    <xf numFmtId="0" fontId="0" fillId="10" borderId="0" xfId="0" applyFill="1" applyAlignment="1">
      <alignment horizontal="center"/>
    </xf>
    <xf numFmtId="0" fontId="0" fillId="10" borderId="0" xfId="0" applyFill="1"/>
    <xf numFmtId="0" fontId="8" fillId="7" borderId="0" xfId="5" applyAlignment="1" applyProtection="1">
      <alignment horizontal="justify" vertical="top" wrapText="1"/>
      <protection hidden="1"/>
    </xf>
    <xf numFmtId="0" fontId="0" fillId="11" borderId="0" xfId="0" applyFill="1"/>
    <xf numFmtId="0" fontId="0" fillId="12" borderId="0" xfId="0" applyFill="1"/>
    <xf numFmtId="0" fontId="0" fillId="13" borderId="0" xfId="0" applyFill="1"/>
    <xf numFmtId="0" fontId="21" fillId="13" borderId="0" xfId="0" applyFont="1" applyFill="1" applyAlignment="1">
      <alignment horizontal="left"/>
    </xf>
    <xf numFmtId="0" fontId="1" fillId="0" borderId="0" xfId="0" applyFont="1"/>
    <xf numFmtId="0" fontId="69" fillId="0" borderId="0" xfId="0" applyFont="1" applyAlignment="1" applyProtection="1">
      <alignment horizontal="justify" vertical="top" wrapText="1"/>
      <protection locked="0"/>
    </xf>
    <xf numFmtId="0" fontId="2" fillId="0" borderId="0" xfId="0" applyFont="1" applyAlignment="1" applyProtection="1">
      <alignment horizontal="justify" vertical="top" wrapText="1"/>
      <protection locked="0"/>
    </xf>
    <xf numFmtId="0" fontId="2" fillId="0" borderId="13" xfId="0" applyFont="1" applyBorder="1" applyAlignment="1" applyProtection="1">
      <alignment horizontal="justify" vertical="top" wrapText="1"/>
      <protection locked="0"/>
    </xf>
    <xf numFmtId="0" fontId="38" fillId="0" borderId="0" xfId="0" applyFont="1" applyAlignment="1">
      <alignment horizontal="left" vertical="center" wrapText="1"/>
    </xf>
    <xf numFmtId="0" fontId="59" fillId="0" borderId="0" xfId="0" applyFont="1" applyAlignment="1" applyProtection="1">
      <alignment horizontal="justify" vertical="top" wrapText="1"/>
      <protection locked="0"/>
    </xf>
    <xf numFmtId="0" fontId="52" fillId="0" borderId="0" xfId="0" applyFont="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62" fillId="0" borderId="0" xfId="0" applyFont="1" applyAlignment="1" applyProtection="1">
      <alignment horizontal="justify" vertical="top" wrapText="1"/>
      <protection locked="0"/>
    </xf>
    <xf numFmtId="0" fontId="58" fillId="0" borderId="0" xfId="0" applyFont="1" applyAlignment="1" applyProtection="1">
      <alignment horizontal="justify" vertical="top" wrapText="1"/>
      <protection locked="0"/>
    </xf>
    <xf numFmtId="0" fontId="58" fillId="0" borderId="13" xfId="0" applyFont="1" applyBorder="1" applyAlignment="1" applyProtection="1">
      <alignment horizontal="justify" vertical="top" wrapText="1"/>
      <protection locked="0"/>
    </xf>
    <xf numFmtId="0" fontId="58" fillId="0" borderId="3" xfId="0" applyFont="1" applyBorder="1" applyAlignment="1" applyProtection="1">
      <alignment horizontal="justify" vertical="top" wrapText="1"/>
      <protection locked="0"/>
    </xf>
    <xf numFmtId="0" fontId="58" fillId="0" borderId="9" xfId="0" applyFont="1" applyBorder="1" applyAlignment="1" applyProtection="1">
      <alignment horizontal="justify" vertical="top" wrapText="1"/>
      <protection locked="0"/>
    </xf>
    <xf numFmtId="0" fontId="62" fillId="0" borderId="5" xfId="0" applyFont="1" applyBorder="1" applyAlignment="1" applyProtection="1">
      <alignment horizontal="justify" vertical="top" wrapText="1"/>
      <protection locked="0"/>
    </xf>
    <xf numFmtId="0" fontId="62" fillId="0" borderId="11" xfId="0" applyFont="1" applyBorder="1" applyAlignment="1" applyProtection="1">
      <alignment horizontal="justify" vertical="top" wrapText="1"/>
      <protection locked="0"/>
    </xf>
    <xf numFmtId="0" fontId="62" fillId="0" borderId="13" xfId="0" applyFont="1" applyBorder="1" applyAlignment="1" applyProtection="1">
      <alignment horizontal="justify" vertical="top" wrapText="1"/>
      <protection locked="0"/>
    </xf>
    <xf numFmtId="0" fontId="62" fillId="0" borderId="3" xfId="0" applyFont="1" applyBorder="1" applyAlignment="1" applyProtection="1">
      <alignment horizontal="justify" vertical="top" wrapText="1"/>
      <protection locked="0"/>
    </xf>
    <xf numFmtId="0" fontId="62" fillId="0" borderId="9" xfId="0" applyFont="1" applyBorder="1" applyAlignment="1" applyProtection="1">
      <alignment horizontal="justify" vertical="top" wrapText="1"/>
      <protection locked="0"/>
    </xf>
    <xf numFmtId="0" fontId="60" fillId="0" borderId="10" xfId="0" applyFont="1" applyBorder="1" applyAlignment="1">
      <alignment horizontal="justify" vertical="distributed" wrapText="1"/>
    </xf>
    <xf numFmtId="0" fontId="60" fillId="0" borderId="5" xfId="0" applyFont="1" applyBorder="1" applyAlignment="1">
      <alignment wrapText="1"/>
    </xf>
    <xf numFmtId="0" fontId="60" fillId="0" borderId="11" xfId="0" applyFont="1" applyBorder="1" applyAlignment="1">
      <alignment wrapText="1"/>
    </xf>
    <xf numFmtId="0" fontId="60" fillId="0" borderId="12" xfId="0" applyFont="1" applyBorder="1" applyAlignment="1">
      <alignment wrapText="1"/>
    </xf>
    <xf numFmtId="0" fontId="60" fillId="0" borderId="0" xfId="0" applyFont="1" applyAlignment="1">
      <alignment wrapText="1"/>
    </xf>
    <xf numFmtId="0" fontId="60" fillId="0" borderId="13" xfId="0" applyFont="1" applyBorder="1" applyAlignment="1">
      <alignment wrapText="1"/>
    </xf>
    <xf numFmtId="0" fontId="60" fillId="0" borderId="8" xfId="0" applyFont="1" applyBorder="1" applyAlignment="1">
      <alignment wrapText="1"/>
    </xf>
    <xf numFmtId="0" fontId="60" fillId="0" borderId="3" xfId="0" applyFont="1" applyBorder="1" applyAlignment="1">
      <alignment wrapText="1"/>
    </xf>
    <xf numFmtId="0" fontId="60" fillId="0" borderId="9" xfId="0" applyFont="1" applyBorder="1" applyAlignment="1">
      <alignment wrapText="1"/>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51" fillId="0" borderId="4" xfId="0" applyFont="1" applyBorder="1" applyAlignment="1" applyProtection="1">
      <alignment horizontal="left" vertical="center"/>
      <protection locked="0"/>
    </xf>
    <xf numFmtId="0" fontId="46" fillId="0" borderId="0" xfId="0" applyFont="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70" fillId="0" borderId="12" xfId="0" applyFont="1" applyBorder="1" applyAlignment="1" applyProtection="1">
      <alignment horizontal="justify" vertical="top" wrapText="1"/>
      <protection locked="0"/>
    </xf>
    <xf numFmtId="0" fontId="68" fillId="0" borderId="0" xfId="0" applyFont="1" applyAlignment="1">
      <alignment horizontal="justify" vertical="top" wrapText="1"/>
    </xf>
    <xf numFmtId="0" fontId="68" fillId="0" borderId="13" xfId="0" applyFont="1" applyBorder="1" applyAlignment="1">
      <alignment horizontal="justify" vertical="top" wrapText="1"/>
    </xf>
    <xf numFmtId="0" fontId="68" fillId="0" borderId="12" xfId="0" applyFont="1" applyBorder="1" applyAlignment="1">
      <alignment horizontal="justify" vertical="top" wrapText="1"/>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118">
    <dxf>
      <numFmt numFmtId="0" formatCode="General"/>
    </dxf>
    <dxf>
      <alignment horizontal="center" vertical="bottom" textRotation="0" wrapText="0" indent="0" justifyLastLine="0" shrinkToFit="0" readingOrder="0"/>
    </dxf>
    <dxf>
      <alignment horizontal="left" vertical="bottom"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twoCellAnchor editAs="oneCell">
    <xdr:from>
      <xdr:col>0</xdr:col>
      <xdr:colOff>66676</xdr:colOff>
      <xdr:row>36</xdr:row>
      <xdr:rowOff>123825</xdr:rowOff>
    </xdr:from>
    <xdr:to>
      <xdr:col>2</xdr:col>
      <xdr:colOff>352425</xdr:colOff>
      <xdr:row>49</xdr:row>
      <xdr:rowOff>76200</xdr:rowOff>
    </xdr:to>
    <xdr:pic>
      <xdr:nvPicPr>
        <xdr:cNvPr id="4" name="Рисунок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6" y="6972300"/>
          <a:ext cx="2905124" cy="2343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twoCellAnchor editAs="oneCell">
    <xdr:from>
      <xdr:col>0</xdr:col>
      <xdr:colOff>66675</xdr:colOff>
      <xdr:row>40</xdr:row>
      <xdr:rowOff>28576</xdr:rowOff>
    </xdr:from>
    <xdr:to>
      <xdr:col>1</xdr:col>
      <xdr:colOff>1428750</xdr:colOff>
      <xdr:row>48</xdr:row>
      <xdr:rowOff>161926</xdr:rowOff>
    </xdr:to>
    <xdr:pic>
      <xdr:nvPicPr>
        <xdr:cNvPr id="2" name="Рисунок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6675" y="7724776"/>
          <a:ext cx="2619375" cy="15811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117" dataDxfId="116" tableBorderDxfId="115" totalsRowBorderDxfId="114">
  <tableColumns count="5">
    <tableColumn id="1" name="Должность" headerRowDxfId="113" dataDxfId="112"/>
    <tableColumn id="5" name="Столбец2" headerRowDxfId="111" dataDxfId="110"/>
    <tableColumn id="4" name="Столбец1" headerRowDxfId="109" dataDxfId="108"/>
    <tableColumn id="2" name="Бригада_1" headerRowDxfId="107" dataDxfId="106"/>
    <tableColumn id="3" name="Бригада_2" headerRowDxfId="105" dataDxfId="104"/>
  </tableColumns>
  <tableStyleInfo showFirstColumn="0" showLastColumn="0" showRowStripes="1" showColumnStripes="0"/>
</table>
</file>

<file path=xl/tables/table10.xml><?xml version="1.0" encoding="utf-8"?>
<table xmlns="http://schemas.openxmlformats.org/spreadsheetml/2006/main" id="4" name="Код.Модели" displayName="Код.Модели" ref="F2:T9" headerRowCount="0" totalsRowShown="0" headerRowCellStyle="Обычный" dataCellStyle="Обычный">
  <tableColumns count="15">
    <tableColumn id="1" name="Диагноз" dataCellStyle="Обычный"/>
    <tableColumn id="2" name="Код модели" dataDxfId="60" dataCellStyle="Обычный"/>
    <tableColumn id="3" name="Стент3" dataDxfId="59" dataCellStyle="Обычный"/>
    <tableColumn id="4" name="Стент4" dataDxfId="58" dataCellStyle="Обычный"/>
    <tableColumn id="5" name="Стент5" dataDxfId="57" dataCellStyle="Обычный"/>
    <tableColumn id="6" name="Стент6" dataDxfId="56" dataCellStyle="Обычный"/>
    <tableColumn id="7" name="Стент7" dataDxfId="55" dataCellStyle="Обычный"/>
    <tableColumn id="8" name="Стент8" dataDxfId="54" dataCellStyle="Обычный"/>
    <tableColumn id="9" name="Стент9" dataDxfId="53" dataCellStyle="Обычный"/>
    <tableColumn id="10" name="Стент10" dataDxfId="52" dataCellStyle="Обычный"/>
    <tableColumn id="11" name="Стент11" dataDxfId="51" dataCellStyle="Обычный"/>
    <tableColumn id="12" name="Стент12" dataDxfId="50" dataCellStyle="Обычный"/>
    <tableColumn id="13" name="Стент13" dataDxfId="49" dataCellStyle="Обычный"/>
    <tableColumn id="14" name="Стент14" dataDxfId="48" dataCellStyle="Обычный"/>
    <tableColumn id="15" name="Стент15" dataDxfId="47" dataCellStyle="Обычный"/>
  </tableColumns>
  <tableStyleInfo name="TableStyleLight21" showFirstColumn="0" showLastColumn="0" showRowStripes="1" showColumnStripes="0"/>
</table>
</file>

<file path=xl/tables/table11.xml><?xml version="1.0" encoding="utf-8"?>
<table xmlns="http://schemas.openxmlformats.org/spreadsheetml/2006/main" id="7" name="Код.Метода" displayName="Код.Метода" ref="F12:T15" headerRowCount="0" totalsRowShown="0" dataDxfId="46">
  <tableColumns count="15">
    <tableColumn id="1" name="Диагноз"/>
    <tableColumn id="2" name="Код метода" dataDxfId="45"/>
    <tableColumn id="3" name="Стенты" dataDxfId="44"/>
    <tableColumn id="4" name="Стенты2" dataDxfId="43"/>
    <tableColumn id="5" name="Стенты3" dataDxfId="42"/>
    <tableColumn id="6" name="Стенты4" dataDxfId="41"/>
    <tableColumn id="7" name="Стенты5" dataDxfId="40"/>
    <tableColumn id="8" name="Стенты6" dataDxfId="39"/>
    <tableColumn id="9" name="Стенты7" dataDxfId="38"/>
    <tableColumn id="10" name="Стенты8" dataDxfId="37"/>
    <tableColumn id="11" name="Стенты9" dataDxfId="36"/>
    <tableColumn id="12" name="Стенты10" dataDxfId="35"/>
    <tableColumn id="13" name="Стенты11" dataDxfId="34"/>
    <tableColumn id="14" name="Стенты12" dataDxfId="33"/>
    <tableColumn id="15" name="Стенты13" dataDxfId="32"/>
  </tableColumns>
  <tableStyleInfo name="TableStyleLight21" showFirstColumn="0" showLastColumn="0" showRowStripes="1" showColumnStripes="0"/>
</table>
</file>

<file path=xl/tables/table12.xml><?xml version="1.0" encoding="utf-8"?>
<table xmlns="http://schemas.openxmlformats.org/spreadsheetml/2006/main" id="20" name="Другое" displayName="Другое" ref="F17:F24" totalsRowShown="0">
  <autoFilter ref="F17:F24"/>
  <tableColumns count="1">
    <tableColumn id="1" name="Другое"/>
  </tableColumns>
  <tableStyleInfo name="TableStyleLight21" showFirstColumn="0" showLastColumn="0" showRowStripes="1" showColumnStripes="0"/>
</table>
</file>

<file path=xl/tables/table13.xml><?xml version="1.0" encoding="utf-8"?>
<table xmlns="http://schemas.openxmlformats.org/spreadsheetml/2006/main" id="1" name="Расходка" displayName="Расходка" ref="A1:C81" totalsRowShown="0">
  <sortState ref="A2:C68">
    <sortCondition ref="B2"/>
  </sortState>
  <tableColumns count="3">
    <tableColumn id="1" name="№">
      <calculatedColumnFormula>ROW(Расходка[[#This Row],[Тип расходного материала ]])-1</calculatedColumnFormula>
    </tableColumn>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4.xml><?xml version="1.0" encoding="utf-8"?>
<table xmlns="http://schemas.openxmlformats.org/spreadsheetml/2006/main" id="6" name="Размеры" displayName="Размеры" ref="AF1:AG97" totalsRowShown="0" headerRowDxfId="31">
  <sortState ref="AF2:AG62">
    <sortCondition ref="AF2:AF62"/>
    <sortCondition ref="AG2:AG62"/>
  </sortState>
  <tableColumns count="2">
    <tableColumn id="3" name="Тип" dataDxfId="30"/>
    <tableColumn id="1" name="Размеры" dataDxfId="29"/>
  </tableColumns>
  <tableStyleInfo name="TableStyleMedium2" showFirstColumn="0" showLastColumn="0" showRowStripes="1" showColumnStripes="0"/>
</table>
</file>

<file path=xl/tables/table15.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8" name="Поиск_расходки" displayName="Поиск_расходки" ref="E1:AD86"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учёта'!$B$15,Расходка[[#This Row],[Наименование расходного материала]])),MAX($G$1:G1)+1,0)</calculatedColumnFormula>
    </tableColumn>
    <tableColumn id="4" name="Индекс4" dataDxfId="25">
      <calculatedColumnFormula>IF(ISNUMBER(SEARCH('Карта учёта'!$B$16,Расходка[[#This Row],[Наименование расходного материала]])),MAX($H$1:H1)+1,0)</calculatedColumnFormula>
    </tableColumn>
    <tableColumn id="5" name="Индекс5" dataDxfId="24">
      <calculatedColumnFormula>IF(ISNUMBER(SEARCH('Карта учёта'!$B$17,Расходка[[#This Row],[Наименование расходного материала]])),MAX($I$1:I1)+1,0)</calculatedColumnFormula>
    </tableColumn>
    <tableColumn id="6" name="Индекс6" dataDxfId="23">
      <calculatedColumnFormula>IF(ISNUMBER(SEARCH('Карта учёта'!$B$18,Расходка[[#This Row],[Наименование расходного материала]])),MAX($J$1:J1)+1,0)</calculatedColumnFormula>
    </tableColumn>
    <tableColumn id="7" name="Индекс7" dataDxfId="22">
      <calculatedColumnFormula>IF(ISNUMBER(SEARCH('Карта учёта'!$B$19,Расходка[[#This Row],[Наименование расходного материала]])),MAX($K$1:K1)+1,0)</calculatedColumnFormula>
    </tableColumn>
    <tableColumn id="8" name="Индекс8" dataDxfId="21">
      <calculatedColumnFormula>IF(ISNUMBER(SEARCH('Карта учёта'!$B$20,Расходка[[#This Row],[Наименование расходного материала]])),MAX($L$1:L1)+1,0)</calculatedColumnFormula>
    </tableColumn>
    <tableColumn id="9" name="Индекс9" dataDxfId="20">
      <calculatedColumnFormula>IF(ISNUMBER(SEARCH('Карта учёта'!$B$21,Расходка[[#This Row],[Наименование расходного материала]])),MAX($M$1:M1)+1,0)</calculatedColumnFormula>
    </tableColumn>
    <tableColumn id="10" name="Индекс10" dataDxfId="19">
      <calculatedColumnFormula>IF(ISNUMBER(SEARCH('Карта учёта'!$B$22,Расходка[[#This Row],[Наименование расходного материала]])),MAX($N$1:N1)+1,0)</calculatedColumnFormula>
    </tableColumn>
    <tableColumn id="11" name="Индекс11" dataDxfId="18">
      <calculatedColumnFormula>IF(ISNUMBER(SEARCH('Карта учёта'!$B$23,Расходка[[#This Row],[Наименование расходного материала]])),MAX($O$1:O1)+1,0)</calculatedColumnFormula>
    </tableColumn>
    <tableColumn id="12" name="Индекс12" dataDxfId="17">
      <calculatedColumnFormula>IF(ISNUMBER(SEARCH('Карта учёта'!$B$24,Расходка[[#This Row],[Наименование расходного материала]])),MAX($P$1:P1)+1,0)</calculatedColumnFormula>
    </tableColumn>
    <tableColumn id="13" name="Индекс13" dataDxfId="16">
      <calculatedColumnFormula>IF(ISNUMBER(SEARCH('Карта учёта'!$B$25,Расходка[[#This Row],[Наименование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материала],MATCH(Расходка[[#This Row],[№]],Поиск_расходки[Индекс1],0)),"")</calculatedColumnFormula>
    </tableColumn>
    <tableColumn id="15" name="Фильтр2" dataDxfId="14">
      <calculatedColumnFormula>IFERROR(INDEX(Расходка[Наименование расходного материала],MATCH(Расходка[[#This Row],[№]],Поиск_расходки[Индекс2],0)),"")</calculatedColumnFormula>
    </tableColumn>
    <tableColumn id="16" name="Фильтр3" dataDxfId="13">
      <calculatedColumnFormula>IFERROR(INDEX(Расходка[Наименование расходного материала],MATCH(Расходка[[#This Row],[№]],Поиск_расходки[Индекс3],0)),"")</calculatedColumnFormula>
    </tableColumn>
    <tableColumn id="17" name="Фильтр4" dataDxfId="12">
      <calculatedColumnFormula>IFERROR(INDEX(Расходка[Наименование расходного материала],MATCH(Расходка[[#This Row],[№]],Поиск_расходки[Индекс4],0)),"")</calculatedColumnFormula>
    </tableColumn>
    <tableColumn id="18" name="Фильтр5" dataDxfId="11">
      <calculatedColumnFormula>IFERROR(INDEX(Расходка[Наименование расходного материала],MATCH(Расходка[[#This Row],[№]],Поиск_расходки[Индекс5],0)),"")</calculatedColumnFormula>
    </tableColumn>
    <tableColumn id="19" name="Фильтр6" dataDxfId="10">
      <calculatedColumnFormula>IFERROR(INDEX(Расходка[Наименование расходного материала],MATCH(Расходка[[#This Row],[№]],Поиск_расходки[Индекс6],0)),"")</calculatedColumnFormula>
    </tableColumn>
    <tableColumn id="20" name="Фильтр7" dataDxfId="9">
      <calculatedColumnFormula>IFERROR(INDEX(Расходка[Наименование расходного материала],MATCH(Расходка[[#This Row],[№]],Поиск_расходки[Индекс7],0)),"")</calculatedColumnFormula>
    </tableColumn>
    <tableColumn id="21" name="Фильтр8" dataDxfId="8">
      <calculatedColumnFormula>IFERROR(INDEX(Расходка[Наименование расходного материала],MATCH(Расходка[[#This Row],[№]],Поиск_расходки[Индекс8],0)),"")</calculatedColumnFormula>
    </tableColumn>
    <tableColumn id="22" name="Фильтр9" dataDxfId="7">
      <calculatedColumnFormula>IFERROR(INDEX(Расходка[Наименование расходного материала],MATCH(Расходка[[#This Row],[№]],Поиск_расходки[Индекс9],0)),"")</calculatedColumnFormula>
    </tableColumn>
    <tableColumn id="23" name="Фильтр10" dataDxfId="6">
      <calculatedColumnFormula>IFERROR(INDEX(Расходка[Наименование расходного материала],MATCH(Расходка[[#This Row],[№]],Поиск_расходки[Индекс10],0)),"")</calculatedColumnFormula>
    </tableColumn>
    <tableColumn id="24" name="Фильтр11" dataDxfId="5">
      <calculatedColumnFormula>IFERROR(INDEX(Расходка[Наименование расходного материала],MATCH(Расходка[[#This Row],[№]],Поиск_расходки[Индекс11],0)),"")</calculatedColumnFormula>
    </tableColumn>
    <tableColumn id="25" name="Фильтр12" dataDxfId="4">
      <calculatedColumnFormula>IFERROR(INDEX(Расходка[Наименование расходного материала],MATCH(Расходка[[#This Row],[№]],Поиск_расходки[Индекс12],0)),"")</calculatedColumnFormula>
    </tableColumn>
    <tableColumn id="26" name="Фильтр13" dataDxfId="3">
      <calculatedColumnFormula>IFERROR(INDEX(Расходка[Наименование расходного материала],MATCH(Расходка[[#This Row],[№]],Поиск_расходки[Индекс13],0)),"")</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I10:AI20" totalsRowShown="0">
  <autoFilter ref="AI10:AI20"/>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21" name="Коды_Расходки" displayName="Коды_Расходки" ref="AM1:AO12" totalsRowShown="0">
  <autoFilter ref="AM1:AO12"/>
  <tableColumns count="3">
    <tableColumn id="1" name="Код НК МИ" dataDxfId="2"/>
    <tableColumn id="2" name="АБР" dataDxfId="1"/>
    <tableColumn id="3" name="Наименование"/>
  </tableColumns>
  <tableStyleInfo name="TableStyleMedium2" showFirstColumn="0" showLastColumn="0" showRowStripes="1" showColumnStripes="0"/>
</table>
</file>

<file path=xl/tables/table19.xml><?xml version="1.0" encoding="utf-8"?>
<table xmlns="http://schemas.openxmlformats.org/spreadsheetml/2006/main" id="5" name="Сотрудники" displayName="Сотрудники" ref="A1:C18" totalsRowShown="0">
  <autoFilter ref="A1:C18"/>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103" dataDxfId="102">
  <tableColumns count="2">
    <tableColumn id="1" name="Столбец1" headerRowDxfId="101" dataDxfId="100"/>
    <tableColumn id="2" name="Столбец2" headerRowDxfId="99" dataDxfId="98"/>
  </tableColumns>
  <tableStyleInfo showFirstColumn="0" showLastColumn="0" showRowStripes="1" showColumnStripes="0"/>
</table>
</file>

<file path=xl/tables/table20.xml><?xml version="1.0" encoding="utf-8"?>
<table xmlns="http://schemas.openxmlformats.org/spreadsheetml/2006/main" id="10" name="Сотрудники_2" displayName="Сотрудники_2" ref="A21:B91" totalsRowShown="0">
  <autoFilter ref="A21:B91"/>
  <sortState ref="A21:B89">
    <sortCondition ref="A21:A89"/>
    <sortCondition ref="B21:B89"/>
  </sortState>
  <tableColumns count="2">
    <tableColumn id="1" name="Должность"/>
    <tableColumn id="2" name="Сотрудник"/>
  </tableColumns>
  <tableStyleInfo name="TableStyleMedium3" showFirstColumn="0" showLastColumn="0" showRowStripes="1" showColumnStripes="0"/>
</table>
</file>

<file path=xl/tables/table21.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97" dataDxfId="96" tableBorderDxfId="95" totalsRowBorderDxfId="94">
  <tableColumns count="5">
    <tableColumn id="1" name="Должность" headerRowDxfId="93" dataDxfId="92"/>
    <tableColumn id="5" name="Столбец2" headerRowDxfId="91" dataDxfId="90"/>
    <tableColumn id="4" name="Столбец1" headerRowDxfId="89" dataDxfId="88"/>
    <tableColumn id="2" name="Бригада_1" headerRowDxfId="87" dataDxfId="86"/>
    <tableColumn id="3" name="Бригада_2" headerRowDxfId="85" dataDxfId="84">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7:B21" headerRowCount="0" totalsRowShown="0" headerRowDxfId="83" dataDxfId="82">
  <tableColumns count="2">
    <tableColumn id="1" name="Столбец1" headerRowDxfId="81" dataDxfId="80"/>
    <tableColumn id="2" name="Столбец2" headerRowDxfId="79" dataDxfId="78">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77" headerRowBorderDxfId="76" tableBorderDxfId="75">
  <tableColumns count="4">
    <tableColumn id="1" name="Тип материала " dataDxfId="74">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73"/>
    <tableColumn id="3" name="Размер" dataDxfId="72"/>
    <tableColumn id="4" name="Количество" dataDxfId="71"/>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70" dataDxfId="69">
  <tableColumns count="2">
    <tableColumn id="1" name="Код ЕНМУ" totalsRowFunction="custom" dataDxfId="68">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INDEX(Вмешательства!#REF!,MATCH('Карта учёта'!D9,Вмешательства!#REF!,0))</totalsRowFormula>
    </tableColumn>
    <tableColumn id="2" name="Наименование процедуры, манипуляции" dataDxfId="67"/>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6" totalsRowShown="0" headerRowDxfId="66" tableBorderDxfId="65">
  <tableColumns count="4">
    <tableColumn id="1" name="№" dataDxfId="64">
      <calculatedColumnFormula>ROW(Вмешательства[[#This Row],[№]])-1</calculatedColumnFormula>
    </tableColumn>
    <tableColumn id="2" name="Код услуги" dataDxfId="63"/>
    <tableColumn id="3" name="Номенклатура мед.услуги" dataDxfId="62"/>
    <tableColumn id="4" name="Рентгенэндоваскулярная диагностика и лечение" dataDxfId="61"/>
  </tableColumns>
  <tableStyleInfo name="TableStyleLight21" showFirstColumn="0" showLastColumn="0" showRowStripes="1" showColumnStripes="0"/>
</table>
</file>

<file path=xl/tables/table8.xml><?xml version="1.0" encoding="utf-8"?>
<table xmlns="http://schemas.openxmlformats.org/spreadsheetml/2006/main" id="16" name="Локализация" displayName="Локализация" ref="V1:V13">
  <autoFilter ref="V1:V13"/>
  <tableColumns count="1">
    <tableColumn id="1" name="Локализация"/>
  </tableColumns>
  <tableStyleInfo name="TableStyleMedium2" showFirstColumn="0" showLastColumn="0" showRowStripes="1" showColumnStripes="0"/>
</table>
</file>

<file path=xl/tables/table9.xml><?xml version="1.0" encoding="utf-8"?>
<table xmlns="http://schemas.openxmlformats.org/spreadsheetml/2006/main" id="2" name="Таблица2" displayName="Таблица2" ref="V15:V17" totalsRowShown="0">
  <autoFilter ref="V15:V17"/>
  <tableColumns count="1">
    <tableColumn id="1" name="Имплантированные медицинские изделия:"/>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table" Target="../tables/table12.xml"/><Relationship Id="rId2" Type="http://schemas.openxmlformats.org/officeDocument/2006/relationships/table" Target="../tables/table7.xml"/><Relationship Id="rId1" Type="http://schemas.openxmlformats.org/officeDocument/2006/relationships/printerSettings" Target="../printerSettings/printerSettings5.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4.xml"/><Relationship Id="rId7" Type="http://schemas.openxmlformats.org/officeDocument/2006/relationships/table" Target="../tables/table18.xml"/><Relationship Id="rId2" Type="http://schemas.openxmlformats.org/officeDocument/2006/relationships/table" Target="../tables/table13.xml"/><Relationship Id="rId1" Type="http://schemas.openxmlformats.org/officeDocument/2006/relationships/printerSettings" Target="../printerSettings/printerSettings6.bin"/><Relationship Id="rId6" Type="http://schemas.openxmlformats.org/officeDocument/2006/relationships/table" Target="../tables/table17.xml"/><Relationship Id="rId5" Type="http://schemas.openxmlformats.org/officeDocument/2006/relationships/table" Target="../tables/table16.xml"/><Relationship Id="rId4" Type="http://schemas.openxmlformats.org/officeDocument/2006/relationships/table" Target="../tables/table1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M59"/>
  <sheetViews>
    <sheetView showGridLines="0" tabSelected="1" showWhiteSpace="0" topLeftCell="A11" zoomScaleNormal="100" zoomScaleSheetLayoutView="100" zoomScalePageLayoutView="90" workbookViewId="0">
      <selection activeCell="J26" sqref="J26"/>
    </sheetView>
  </sheetViews>
  <sheetFormatPr defaultColWidth="0" defaultRowHeight="15" zeroHeight="1"/>
  <cols>
    <col min="1" max="1" width="17.7109375" style="210" bestFit="1" customWidth="1"/>
    <col min="2" max="2" width="21.5703125" style="210" customWidth="1"/>
    <col min="3" max="3" width="6.28515625" style="210" customWidth="1"/>
    <col min="4" max="4" width="6.85546875" style="210" customWidth="1"/>
    <col min="5" max="5" width="4.85546875" style="210" customWidth="1"/>
    <col min="6" max="6" width="6.28515625" style="210" customWidth="1"/>
    <col min="7" max="7" width="17.7109375" style="210" customWidth="1"/>
    <col min="8" max="8" width="17.140625" style="210" customWidth="1"/>
    <col min="9" max="9" width="15.28515625" style="210" customWidth="1"/>
    <col min="10" max="10" width="7.28515625" style="210" customWidth="1"/>
    <col min="11" max="13" width="0" hidden="1" customWidth="1"/>
    <col min="14"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c r="A6" s="222" t="s">
        <v>214</v>
      </c>
      <c r="B6" s="223"/>
      <c r="C6" s="223"/>
      <c r="D6" s="223"/>
      <c r="E6" s="223"/>
      <c r="F6" s="223"/>
      <c r="G6" s="223"/>
      <c r="H6" s="224"/>
    </row>
    <row r="7" spans="1:8">
      <c r="A7" s="51" t="str">
        <f>"Код по ЕНМУ:"&amp;" "&amp;IFERROR(INDEX(Вмешательства[Номенклатура мед.услуги],MATCH(КАГ!A6,Вмешательства[Рентгенэндоваскулярная диагностика и лечение],0)),"")</f>
        <v>Код по ЕНМУ: A06.10.006.002</v>
      </c>
      <c r="B7"/>
      <c r="C7" s="52"/>
      <c r="D7" s="52"/>
      <c r="E7" s="52"/>
      <c r="F7" s="52"/>
      <c r="G7"/>
      <c r="H7" s="38"/>
    </row>
    <row r="8" spans="1:8" ht="18.75">
      <c r="A8" s="13" t="s">
        <v>191</v>
      </c>
      <c r="B8" s="19">
        <v>45720</v>
      </c>
      <c r="C8" s="53"/>
      <c r="D8" s="15" t="s">
        <v>186</v>
      </c>
      <c r="E8" s="28"/>
      <c r="F8" s="28"/>
      <c r="G8" s="16"/>
      <c r="H8" s="17"/>
    </row>
    <row r="9" spans="1:8" ht="15.6" customHeight="1">
      <c r="A9" s="20" t="s">
        <v>193</v>
      </c>
      <c r="B9" s="21">
        <v>0.72222222222222221</v>
      </c>
      <c r="C9" s="53"/>
      <c r="D9" s="93" t="s">
        <v>172</v>
      </c>
      <c r="E9" s="91"/>
      <c r="F9" s="91"/>
      <c r="G9" s="22" t="s">
        <v>163</v>
      </c>
      <c r="H9" s="24"/>
    </row>
    <row r="10" spans="1:8" ht="15.6" customHeight="1" thickBot="1">
      <c r="A10" s="82" t="s">
        <v>194</v>
      </c>
      <c r="B10" s="83">
        <v>0.75</v>
      </c>
      <c r="C10" s="54"/>
      <c r="D10" s="94" t="s">
        <v>173</v>
      </c>
      <c r="E10" s="92"/>
      <c r="F10" s="92"/>
      <c r="G10" s="23" t="s">
        <v>159</v>
      </c>
      <c r="H10" s="25"/>
    </row>
    <row r="11" spans="1:8" ht="17.25" thickTop="1" thickBot="1">
      <c r="A11" s="88" t="s">
        <v>192</v>
      </c>
      <c r="B11" s="202" t="s">
        <v>536</v>
      </c>
      <c r="C11" s="8"/>
      <c r="D11" s="94" t="s">
        <v>170</v>
      </c>
      <c r="E11" s="92"/>
      <c r="F11" s="92"/>
      <c r="G11" s="23" t="s">
        <v>504</v>
      </c>
      <c r="H11" s="25"/>
    </row>
    <row r="12" spans="1:8" ht="16.5" thickTop="1">
      <c r="A12" s="80" t="s">
        <v>8</v>
      </c>
      <c r="B12" s="81">
        <v>18343</v>
      </c>
      <c r="C12" s="11"/>
      <c r="D12" s="94" t="s">
        <v>302</v>
      </c>
      <c r="E12" s="92"/>
      <c r="F12" s="92"/>
      <c r="G12" s="23" t="s">
        <v>177</v>
      </c>
      <c r="H12" s="25"/>
    </row>
    <row r="13" spans="1:8" ht="15.75">
      <c r="A13" s="14" t="s">
        <v>10</v>
      </c>
      <c r="B13" s="29">
        <f>DATEDIF(B12,B8,"y")</f>
        <v>74</v>
      </c>
      <c r="C13" s="11"/>
      <c r="D13" s="94"/>
      <c r="E13" s="92"/>
      <c r="F13" s="92"/>
      <c r="G13" s="23"/>
      <c r="H13" s="25"/>
    </row>
    <row r="14" spans="1:8" ht="15.75">
      <c r="A14" s="14" t="s">
        <v>12</v>
      </c>
      <c r="B14" s="18">
        <v>6024</v>
      </c>
      <c r="C14" s="11"/>
      <c r="D14" s="35"/>
      <c r="E14" s="35"/>
      <c r="F14" s="35"/>
      <c r="G14" s="36"/>
      <c r="H14" s="55"/>
    </row>
    <row r="15" spans="1:8" ht="15.75">
      <c r="A15" s="14" t="s">
        <v>133</v>
      </c>
      <c r="B15" s="18">
        <v>35</v>
      </c>
      <c r="C15"/>
      <c r="D15" s="35"/>
      <c r="E15" s="35"/>
      <c r="F15" s="35"/>
      <c r="G15" s="164" t="s">
        <v>397</v>
      </c>
      <c r="H15" s="168" t="s">
        <v>543</v>
      </c>
    </row>
    <row r="16" spans="1:8" ht="15.6" customHeight="1">
      <c r="A16" s="14" t="s">
        <v>106</v>
      </c>
      <c r="B16" s="18" t="s">
        <v>310</v>
      </c>
      <c r="C16"/>
      <c r="D16" s="35"/>
      <c r="E16" s="35"/>
      <c r="F16" s="35"/>
      <c r="G16" s="165" t="s">
        <v>399</v>
      </c>
      <c r="H16" s="163">
        <v>2130</v>
      </c>
    </row>
    <row r="17" spans="1:8" ht="14.45" customHeight="1">
      <c r="A17" s="39"/>
      <c r="B17" s="30"/>
      <c r="C17" s="30"/>
      <c r="D17" s="87"/>
      <c r="E17" s="87"/>
      <c r="F17" s="87"/>
      <c r="G17" s="166" t="s">
        <v>386</v>
      </c>
      <c r="H17" s="167">
        <f>H16*0.0019</f>
        <v>4.0469999999999997</v>
      </c>
    </row>
    <row r="18" spans="1:8" ht="14.45" customHeight="1">
      <c r="A18" s="56" t="s">
        <v>188</v>
      </c>
      <c r="B18" s="86" t="s">
        <v>538</v>
      </c>
      <c r="C18"/>
      <c r="D18" s="27" t="s">
        <v>210</v>
      </c>
      <c r="E18" s="27"/>
      <c r="F18" s="27"/>
      <c r="G18" s="84" t="s">
        <v>189</v>
      </c>
      <c r="H18" s="85" t="s">
        <v>535</v>
      </c>
    </row>
    <row r="19" spans="1:8" ht="14.45" customHeight="1">
      <c r="A19" s="39"/>
      <c r="B19" s="30"/>
      <c r="C19" s="30"/>
      <c r="D19" s="33"/>
      <c r="E19" s="33"/>
      <c r="F19" s="33"/>
      <c r="G19" s="30"/>
      <c r="H19" s="40"/>
    </row>
    <row r="20" spans="1:8" ht="14.45" customHeight="1">
      <c r="A20" s="56" t="s">
        <v>212</v>
      </c>
      <c r="B20" s="225" t="s">
        <v>537</v>
      </c>
      <c r="C20" s="226"/>
      <c r="D20" s="226"/>
      <c r="E20" s="226"/>
      <c r="F20" s="226"/>
      <c r="G20" s="226"/>
      <c r="H20" s="227"/>
    </row>
    <row r="21" spans="1:8">
      <c r="A21" s="57"/>
      <c r="B21" s="228"/>
      <c r="C21" s="228"/>
      <c r="D21" s="228"/>
      <c r="E21" s="228"/>
      <c r="F21" s="228"/>
      <c r="G21" s="228"/>
      <c r="H21" s="229"/>
    </row>
    <row r="22" spans="1:8" ht="15.6" customHeight="1">
      <c r="A22" s="58" t="s">
        <v>271</v>
      </c>
      <c r="B22" s="230" t="s">
        <v>540</v>
      </c>
      <c r="C22" s="230"/>
      <c r="D22" s="230"/>
      <c r="E22" s="230"/>
      <c r="F22" s="230"/>
      <c r="G22" s="230"/>
      <c r="H22" s="231"/>
    </row>
    <row r="23" spans="1:8" ht="14.45" customHeight="1">
      <c r="A23" s="37"/>
      <c r="B23" s="225"/>
      <c r="C23" s="225"/>
      <c r="D23" s="225"/>
      <c r="E23" s="225"/>
      <c r="F23" s="225"/>
      <c r="G23" s="225"/>
      <c r="H23" s="232"/>
    </row>
    <row r="24" spans="1:8" ht="14.45" customHeight="1">
      <c r="A24" s="59"/>
      <c r="B24" s="225"/>
      <c r="C24" s="225"/>
      <c r="D24" s="225"/>
      <c r="E24" s="225"/>
      <c r="F24" s="225"/>
      <c r="G24" s="225"/>
      <c r="H24" s="232"/>
    </row>
    <row r="25" spans="1:8" ht="14.45" customHeight="1">
      <c r="A25" s="37"/>
      <c r="B25" s="225"/>
      <c r="C25" s="225"/>
      <c r="D25" s="225"/>
      <c r="E25" s="225"/>
      <c r="F25" s="225"/>
      <c r="G25" s="225"/>
      <c r="H25" s="232"/>
    </row>
    <row r="26" spans="1:8" ht="14.45" customHeight="1">
      <c r="A26" s="39"/>
      <c r="B26" s="233"/>
      <c r="C26" s="233"/>
      <c r="D26" s="233"/>
      <c r="E26" s="233"/>
      <c r="F26" s="233"/>
      <c r="G26" s="233"/>
      <c r="H26" s="234"/>
    </row>
    <row r="27" spans="1:8" ht="14.45" customHeight="1">
      <c r="A27" s="58" t="s">
        <v>272</v>
      </c>
      <c r="B27" s="230" t="s">
        <v>539</v>
      </c>
      <c r="C27" s="230"/>
      <c r="D27" s="230"/>
      <c r="E27" s="230"/>
      <c r="F27" s="230"/>
      <c r="G27" s="230"/>
      <c r="H27" s="231"/>
    </row>
    <row r="28" spans="1:8" ht="15.6" customHeight="1">
      <c r="A28" s="37"/>
      <c r="B28" s="225"/>
      <c r="C28" s="225"/>
      <c r="D28" s="225"/>
      <c r="E28" s="225"/>
      <c r="F28" s="225"/>
      <c r="G28" s="225"/>
      <c r="H28" s="232"/>
    </row>
    <row r="29" spans="1:8" ht="14.45" customHeight="1">
      <c r="A29" s="37"/>
      <c r="B29" s="225"/>
      <c r="C29" s="225"/>
      <c r="D29" s="225"/>
      <c r="E29" s="225"/>
      <c r="F29" s="225"/>
      <c r="G29" s="225"/>
      <c r="H29" s="232"/>
    </row>
    <row r="30" spans="1:8" ht="14.45" customHeight="1">
      <c r="A30" s="31"/>
      <c r="B30" s="225"/>
      <c r="C30" s="225"/>
      <c r="D30" s="225"/>
      <c r="E30" s="225"/>
      <c r="F30" s="225"/>
      <c r="G30" s="225"/>
      <c r="H30" s="232"/>
    </row>
    <row r="31" spans="1:8" ht="14.45" customHeight="1">
      <c r="A31" s="32"/>
      <c r="B31" s="233"/>
      <c r="C31" s="233"/>
      <c r="D31" s="233"/>
      <c r="E31" s="233"/>
      <c r="F31" s="233"/>
      <c r="G31" s="233"/>
      <c r="H31" s="234"/>
    </row>
    <row r="32" spans="1:8" ht="14.45" customHeight="1">
      <c r="A32" s="58" t="s">
        <v>273</v>
      </c>
      <c r="B32" s="230" t="s">
        <v>542</v>
      </c>
      <c r="C32" s="230"/>
      <c r="D32" s="230"/>
      <c r="E32" s="230"/>
      <c r="F32" s="230"/>
      <c r="G32" s="230"/>
      <c r="H32" s="231"/>
    </row>
    <row r="33" spans="1:8" ht="14.45" customHeight="1">
      <c r="A33" s="37"/>
      <c r="B33" s="225"/>
      <c r="C33" s="225"/>
      <c r="D33" s="225"/>
      <c r="E33" s="225"/>
      <c r="F33" s="225"/>
      <c r="G33" s="225"/>
      <c r="H33" s="232"/>
    </row>
    <row r="34" spans="1:8" ht="15.6" customHeight="1">
      <c r="A34" s="37"/>
      <c r="B34" s="225"/>
      <c r="C34" s="225"/>
      <c r="D34" s="225"/>
      <c r="E34" s="225"/>
      <c r="F34" s="225"/>
      <c r="G34" s="225"/>
      <c r="H34" s="232"/>
    </row>
    <row r="35" spans="1:8" ht="14.45" customHeight="1">
      <c r="A35" s="37"/>
      <c r="B35" s="225"/>
      <c r="C35" s="225"/>
      <c r="D35" s="225"/>
      <c r="E35" s="225"/>
      <c r="F35" s="225"/>
      <c r="G35" s="225"/>
      <c r="H35" s="232"/>
    </row>
    <row r="36" spans="1:8" ht="15.6" customHeight="1">
      <c r="A36" s="37"/>
      <c r="B36" s="225"/>
      <c r="C36" s="225"/>
      <c r="D36" s="225"/>
      <c r="E36" s="225"/>
      <c r="F36" s="225"/>
      <c r="G36" s="225"/>
      <c r="H36" s="232"/>
    </row>
    <row r="37" spans="1:8" ht="14.45" customHeight="1">
      <c r="A37" s="37"/>
      <c r="B37"/>
      <c r="C37"/>
      <c r="D37" s="218" t="str">
        <f>IF($A$6=Вмешательства!$D$3,Вмешательства!$F$18,"")</f>
        <v>ШУНТЫ:</v>
      </c>
      <c r="E37" s="218"/>
      <c r="F37" s="118"/>
      <c r="G37" s="118"/>
      <c r="H37" s="122"/>
    </row>
    <row r="38" spans="1:8" ht="14.45" customHeight="1">
      <c r="A38" s="37"/>
      <c r="B38"/>
      <c r="C38" s="123"/>
      <c r="D38" s="219" t="s">
        <v>544</v>
      </c>
      <c r="E38" s="220"/>
      <c r="F38" s="220"/>
      <c r="G38" s="220"/>
      <c r="H38" s="221"/>
    </row>
    <row r="39" spans="1:8" ht="14.45" customHeight="1">
      <c r="A39" s="34"/>
      <c r="B39" s="118"/>
      <c r="C39" s="123"/>
      <c r="D39" s="220"/>
      <c r="E39" s="220"/>
      <c r="F39" s="220"/>
      <c r="G39" s="220"/>
      <c r="H39" s="221"/>
    </row>
    <row r="40" spans="1:8" ht="14.45" customHeight="1">
      <c r="A40" s="34"/>
      <c r="B40" s="118"/>
      <c r="C40" s="123"/>
      <c r="D40" s="220"/>
      <c r="E40" s="220"/>
      <c r="F40" s="220"/>
      <c r="G40" s="220"/>
      <c r="H40" s="221"/>
    </row>
    <row r="41" spans="1:8" ht="14.45" customHeight="1">
      <c r="A41" s="34"/>
      <c r="B41" s="118"/>
      <c r="C41" s="123"/>
      <c r="D41" s="220"/>
      <c r="E41" s="220"/>
      <c r="F41" s="220"/>
      <c r="G41" s="220"/>
      <c r="H41" s="221"/>
    </row>
    <row r="42" spans="1:8" ht="14.45" customHeight="1">
      <c r="A42" s="34"/>
      <c r="B42" s="118"/>
      <c r="C42" s="124"/>
      <c r="D42" s="126" t="str">
        <f>IF(ЧКВ!A6=Вмешательства!D4,Вмешательства!F24,IF(ЧКВ!A6=Вмешательства!D6,Вмешательства!F24,IF(ЧКВ!A6=Вмешательства!D7,Вмешательства!F24,IF(ЧКВ!A6=Вмешательства!D8,Вмешательства!F24,IF(ЧКВ!A6=Вмешательства!D5,Вмешательства!F24,"Рекомендовано:")))))</f>
        <v>Рекомендовано:</v>
      </c>
      <c r="E42" s="41"/>
      <c r="F42" s="41"/>
      <c r="G42" s="41"/>
      <c r="H42" s="60"/>
    </row>
    <row r="43" spans="1:8" ht="14.45" customHeight="1">
      <c r="A43" s="34"/>
      <c r="B43" s="118"/>
      <c r="C43" s="125"/>
      <c r="D43" s="215" t="s">
        <v>541</v>
      </c>
      <c r="E43" s="216"/>
      <c r="F43" s="216"/>
      <c r="G43" s="216"/>
      <c r="H43" s="217"/>
    </row>
    <row r="44" spans="1:8" ht="14.45" customHeight="1">
      <c r="A44" s="34"/>
      <c r="B44" s="118"/>
      <c r="C44" s="125"/>
      <c r="D44" s="216"/>
      <c r="E44" s="216"/>
      <c r="F44" s="216"/>
      <c r="G44" s="216"/>
      <c r="H44" s="217"/>
    </row>
    <row r="45" spans="1:8" ht="14.45" customHeight="1">
      <c r="A45" s="34"/>
      <c r="B45" s="118"/>
      <c r="C45" s="125"/>
      <c r="D45" s="216"/>
      <c r="E45" s="216"/>
      <c r="F45" s="216"/>
      <c r="G45" s="216"/>
      <c r="H45" s="217"/>
    </row>
    <row r="46" spans="1:8">
      <c r="A46" s="34"/>
      <c r="B46" s="118"/>
      <c r="C46" s="125"/>
      <c r="D46" s="216"/>
      <c r="E46" s="216"/>
      <c r="F46" s="216"/>
      <c r="G46" s="216"/>
      <c r="H46" s="217"/>
    </row>
    <row r="47" spans="1:8">
      <c r="A47" s="37"/>
      <c r="B47"/>
      <c r="C47" s="125"/>
      <c r="D47" s="216"/>
      <c r="E47" s="216"/>
      <c r="F47" s="216"/>
      <c r="G47" s="216"/>
      <c r="H47" s="217"/>
    </row>
    <row r="48" spans="1:8">
      <c r="A48" s="37"/>
      <c r="B48"/>
      <c r="C48" s="125"/>
      <c r="D48" s="216"/>
      <c r="E48" s="216"/>
      <c r="F48" s="216"/>
      <c r="G48" s="216"/>
      <c r="H48" s="217"/>
    </row>
    <row r="49" spans="1:13">
      <c r="A49" s="37"/>
      <c r="B49" s="204"/>
      <c r="C49" s="205"/>
      <c r="D49" s="216"/>
      <c r="E49" s="216"/>
      <c r="F49" s="216"/>
      <c r="G49" s="216"/>
      <c r="H49" s="217"/>
    </row>
    <row r="50" spans="1:13">
      <c r="A50" s="37"/>
      <c r="B50"/>
      <c r="C50"/>
      <c r="D50" s="216"/>
      <c r="E50" s="216"/>
      <c r="F50" s="216"/>
      <c r="G50" s="216"/>
      <c r="H50" s="217"/>
      <c r="M50" t="s">
        <v>211</v>
      </c>
    </row>
    <row r="51" spans="1:13">
      <c r="A51" s="61" t="s">
        <v>204</v>
      </c>
      <c r="B51" s="62" t="s">
        <v>530</v>
      </c>
      <c r="C51"/>
      <c r="D51"/>
      <c r="E51"/>
      <c r="F51"/>
      <c r="G51" s="73" t="str">
        <f>$G$9</f>
        <v>Щербаков А.С.</v>
      </c>
      <c r="H51" s="63"/>
    </row>
    <row r="52" spans="1:13">
      <c r="A52" s="37"/>
      <c r="B52"/>
      <c r="C52"/>
      <c r="D52"/>
      <c r="E52"/>
      <c r="F52"/>
      <c r="G52"/>
      <c r="H52" s="38"/>
    </row>
    <row r="53" spans="1:13">
      <c r="A53" s="64" t="s">
        <v>206</v>
      </c>
      <c r="B53" s="65" t="s">
        <v>534</v>
      </c>
      <c r="C53"/>
      <c r="D53"/>
      <c r="E53"/>
      <c r="F53"/>
      <c r="G53" s="73" t="str">
        <f>IF(ISBLANK(H9),"",H9)</f>
        <v/>
      </c>
      <c r="H53" s="63"/>
    </row>
    <row r="54" spans="1:13">
      <c r="A54" s="39"/>
      <c r="B54" s="30"/>
      <c r="C54" s="30"/>
      <c r="D54" s="30"/>
      <c r="E54" s="30"/>
      <c r="F54" s="30"/>
      <c r="G54" s="30"/>
      <c r="H54" s="40"/>
    </row>
    <row r="55" spans="1:13"/>
    <row r="56" spans="1:13"/>
    <row r="57" spans="1:13"/>
    <row r="58" spans="1:13"/>
    <row r="59" spans="1:13"/>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9">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Вмешательства!$F$3:$F$9</xm:f>
          </x14:formula1>
          <xm:sqref>B16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L60"/>
  <sheetViews>
    <sheetView showGridLines="0" showWhiteSpace="0" zoomScaleNormal="100" zoomScaleSheetLayoutView="100" zoomScalePageLayoutView="90" workbookViewId="0">
      <selection activeCell="I15" sqref="I15"/>
    </sheetView>
  </sheetViews>
  <sheetFormatPr defaultColWidth="0" defaultRowHeight="15" zeroHeight="1"/>
  <cols>
    <col min="1" max="1" width="18.85546875" style="211" customWidth="1"/>
    <col min="2" max="2" width="21.5703125" style="211" customWidth="1"/>
    <col min="3" max="3" width="6.28515625" style="211" customWidth="1"/>
    <col min="4" max="4" width="6.85546875" style="211" customWidth="1"/>
    <col min="5" max="5" width="4.85546875" style="211" customWidth="1"/>
    <col min="6" max="6" width="6" style="211" customWidth="1"/>
    <col min="7" max="7" width="17.7109375" style="211" customWidth="1"/>
    <col min="8" max="8" width="17.140625" style="211" customWidth="1"/>
    <col min="9" max="9" width="15.28515625" style="211" customWidth="1"/>
    <col min="10" max="10" width="7.28515625" style="211" customWidth="1"/>
    <col min="11" max="12" width="0" hidden="1" customWidth="1"/>
    <col min="13" max="16384" width="8.85546875" hidden="1"/>
  </cols>
  <sheetData>
    <row r="1" spans="1:8" ht="15.75">
      <c r="A1" s="42" t="s">
        <v>135</v>
      </c>
      <c r="B1" s="43"/>
      <c r="C1" s="43"/>
      <c r="D1" s="43"/>
      <c r="E1" s="43"/>
      <c r="F1" s="43"/>
      <c r="G1" s="43"/>
      <c r="H1" s="44"/>
    </row>
    <row r="2" spans="1:8">
      <c r="A2" s="45" t="s">
        <v>136</v>
      </c>
      <c r="B2" s="46"/>
      <c r="C2" s="46"/>
      <c r="D2" s="46"/>
      <c r="E2" s="46"/>
      <c r="F2" s="46"/>
      <c r="G2" s="46"/>
      <c r="H2" s="47"/>
    </row>
    <row r="3" spans="1:8">
      <c r="A3" s="45" t="s">
        <v>137</v>
      </c>
      <c r="B3" s="46"/>
      <c r="C3" s="46"/>
      <c r="D3" s="46"/>
      <c r="E3" s="46"/>
      <c r="F3" s="46"/>
      <c r="G3" s="46"/>
      <c r="H3" s="47"/>
    </row>
    <row r="4" spans="1:8">
      <c r="A4" s="48" t="s">
        <v>138</v>
      </c>
      <c r="B4" s="49"/>
      <c r="C4" s="49"/>
      <c r="D4" s="49"/>
      <c r="E4" s="49"/>
      <c r="F4" s="49"/>
      <c r="G4" s="49"/>
      <c r="H4" s="50"/>
    </row>
    <row r="5" spans="1:8">
      <c r="A5" s="37"/>
      <c r="B5"/>
      <c r="C5"/>
      <c r="D5"/>
      <c r="E5"/>
      <c r="F5"/>
      <c r="G5"/>
      <c r="H5" s="38"/>
    </row>
    <row r="6" spans="1:8" ht="15.6" customHeight="1">
      <c r="A6" s="245"/>
      <c r="B6" s="246"/>
      <c r="C6" s="246"/>
      <c r="D6" s="246"/>
      <c r="E6" s="246"/>
      <c r="F6" s="246"/>
      <c r="G6" s="246"/>
      <c r="H6" s="247"/>
    </row>
    <row r="7" spans="1:8" ht="21.6" customHeight="1">
      <c r="A7" s="245"/>
      <c r="B7" s="246"/>
      <c r="C7" s="246"/>
      <c r="D7" s="246"/>
      <c r="E7" s="246"/>
      <c r="F7" s="246"/>
      <c r="G7" s="246"/>
      <c r="H7" s="247"/>
    </row>
    <row r="8" spans="1:8" ht="17.25" thickBot="1">
      <c r="A8" s="51" t="str">
        <f>"Код по ЕНМУ:"&amp;" "&amp;IFERROR(INDEX(Вмешательства[Номенклатура мед.услуги],MATCH(ЧКВ!A6,Вмешательства[Рентгенэндоваскулярная диагностика и лечение],0)),"")</f>
        <v xml:space="preserve">Код по ЕНМУ: </v>
      </c>
      <c r="B8"/>
      <c r="C8" s="244"/>
      <c r="D8" s="244"/>
      <c r="E8" s="244"/>
      <c r="F8" s="189"/>
      <c r="G8" s="117"/>
      <c r="H8" s="157"/>
    </row>
    <row r="9" spans="1:8" ht="15.75" thickTop="1">
      <c r="A9" s="51" t="str">
        <f>"Код модели:"&amp;" "&amp;IFERROR(IF(ISBLANK(H8),IF(A6=Вмешательства!D4,INDEX(Код.Модели[#All],MATCH(ЧКВ!B21,Код.Модели[[#All],[Диагноз]],0),MATCH(ЧКВ!C11,Вмешательства!F2:T2,0))," ")," "),"")</f>
        <v xml:space="preserve">Код модели:  </v>
      </c>
      <c r="B9"/>
      <c r="C9" s="244"/>
      <c r="D9" s="244"/>
      <c r="E9" s="244"/>
      <c r="F9" s="189"/>
      <c r="G9" s="117"/>
      <c r="H9" s="38"/>
    </row>
    <row r="10" spans="1:8">
      <c r="A10" s="51" t="str">
        <f>"Код метода:"&amp;" "&amp;IFERROR(IF(ISBLANK(ЧКВ!H8),IF(A6=Вмешательства!D4,INDEX(Код.Метода[#All],MATCH(ЧКВ!B21,Код.Метода[[#All],[Диагноз]],0),MATCH(ЧКВ!C11,Вмешательства!F12:T12,0))," ")," "),"")</f>
        <v xml:space="preserve">Код метода:  </v>
      </c>
      <c r="B10" s="188"/>
      <c r="C10" s="248"/>
      <c r="D10" s="248"/>
      <c r="E10" s="248"/>
      <c r="F10" s="192"/>
      <c r="G10" s="117"/>
      <c r="H10" s="38"/>
    </row>
    <row r="11" spans="1:8">
      <c r="A11" s="191"/>
      <c r="B11" s="195"/>
      <c r="C11" s="198">
        <f>SUM(F8:F10)</f>
        <v>0</v>
      </c>
      <c r="D11"/>
      <c r="E11"/>
      <c r="F11"/>
      <c r="G11"/>
      <c r="H11" s="38"/>
    </row>
    <row r="12" spans="1:8" ht="18.75">
      <c r="A12" s="74" t="s">
        <v>191</v>
      </c>
      <c r="B12" s="19">
        <f>КАГ!B8</f>
        <v>45720</v>
      </c>
      <c r="C12" s="11"/>
      <c r="D12" s="15" t="s">
        <v>186</v>
      </c>
      <c r="E12" s="28"/>
      <c r="F12" s="28"/>
      <c r="G12" s="16"/>
      <c r="H12" s="17"/>
    </row>
    <row r="13" spans="1:8" ht="15.75">
      <c r="A13" s="75" t="s">
        <v>193</v>
      </c>
      <c r="B13" s="21">
        <f>КАГ!B10</f>
        <v>0.75</v>
      </c>
      <c r="C13" s="11"/>
      <c r="D13" s="93" t="s">
        <v>172</v>
      </c>
      <c r="E13" s="91"/>
      <c r="F13" s="91"/>
      <c r="G13" s="78" t="str">
        <f>КАГ!G9</f>
        <v>Щербаков А.С.</v>
      </c>
      <c r="H13" s="89" t="str">
        <f>IF(ISBLANK(КАГ!H9),"",КАГ!H9)</f>
        <v/>
      </c>
    </row>
    <row r="14" spans="1:8" ht="15.75">
      <c r="A14" s="75" t="s">
        <v>194</v>
      </c>
      <c r="B14" s="21">
        <v>0.6875</v>
      </c>
      <c r="C14" s="11"/>
      <c r="D14" s="94" t="s">
        <v>173</v>
      </c>
      <c r="E14" s="92"/>
      <c r="F14" s="92"/>
      <c r="G14" s="79" t="str">
        <f>КАГ!G10</f>
        <v>Нефёдова А.А.</v>
      </c>
      <c r="H14" s="90" t="str">
        <f>IF(ISBLANK(КАГ!H10),"",КАГ!H10)</f>
        <v/>
      </c>
    </row>
    <row r="15" spans="1:8" ht="16.5" thickBot="1">
      <c r="A15" s="162" t="s">
        <v>385</v>
      </c>
      <c r="B15" s="187">
        <f>IF(B14&lt;B13,B14+1,B14)-B13</f>
        <v>0.9375</v>
      </c>
      <c r="C15"/>
      <c r="D15" s="94" t="s">
        <v>170</v>
      </c>
      <c r="E15" s="92"/>
      <c r="F15" s="92"/>
      <c r="G15" s="79" t="str">
        <f>КАГ!G11</f>
        <v>Соболева Ю.А.</v>
      </c>
      <c r="H15" s="90" t="str">
        <f>IF(ISBLANK(КАГ!H11),"",КАГ!H11)</f>
        <v/>
      </c>
    </row>
    <row r="16" spans="1:8" ht="17.25" thickTop="1" thickBot="1">
      <c r="A16" s="88" t="s">
        <v>192</v>
      </c>
      <c r="B16" s="200" t="str">
        <f>КАГ!B11</f>
        <v>Козьмин П.Н.</v>
      </c>
      <c r="C16" s="199">
        <f>LEN(КАГ!B11)</f>
        <v>12</v>
      </c>
      <c r="D16" s="94" t="s">
        <v>302</v>
      </c>
      <c r="E16" s="92"/>
      <c r="F16" s="92"/>
      <c r="G16" s="79" t="str">
        <f>КАГ!G12</f>
        <v>Мишина Е.А</v>
      </c>
      <c r="H16" s="90" t="str">
        <f>IF(ISBLANK(КАГ!H12),"",КАГ!H12)</f>
        <v/>
      </c>
    </row>
    <row r="17" spans="1:8" ht="16.5" thickTop="1">
      <c r="A17" s="14" t="s">
        <v>8</v>
      </c>
      <c r="B17" s="66">
        <f>КАГ!B12</f>
        <v>18343</v>
      </c>
      <c r="C17"/>
      <c r="D17" s="94" t="s">
        <v>184</v>
      </c>
      <c r="E17" s="92"/>
      <c r="F17" s="92"/>
      <c r="G17" s="79" t="str">
        <f>IF(ISBLANK(КАГ!G13),"",КАГ!G13)</f>
        <v/>
      </c>
      <c r="H17" s="90" t="str">
        <f>IF(ISBLANK(КАГ!H13),"",КАГ!H13)</f>
        <v/>
      </c>
    </row>
    <row r="18" spans="1:8" ht="15.75">
      <c r="A18" s="14" t="s">
        <v>10</v>
      </c>
      <c r="B18" s="29">
        <f>КАГ!B13</f>
        <v>74</v>
      </c>
      <c r="C18"/>
      <c r="D18"/>
      <c r="E18"/>
      <c r="F18"/>
      <c r="G18"/>
      <c r="H18" s="38"/>
    </row>
    <row r="19" spans="1:8" ht="14.45" customHeight="1">
      <c r="A19" s="14" t="s">
        <v>12</v>
      </c>
      <c r="B19" s="67">
        <f>КАГ!B14</f>
        <v>6024</v>
      </c>
      <c r="C19" s="68"/>
      <c r="D19" s="68"/>
      <c r="E19" s="68"/>
      <c r="F19" s="68"/>
      <c r="G19" s="164" t="s">
        <v>397</v>
      </c>
      <c r="H19" s="179" t="s">
        <v>529</v>
      </c>
    </row>
    <row r="20" spans="1:8" ht="14.45" customHeight="1">
      <c r="A20" s="14" t="s">
        <v>133</v>
      </c>
      <c r="B20" s="67">
        <f>КАГ!B15</f>
        <v>35</v>
      </c>
      <c r="C20" s="69"/>
      <c r="D20" s="69"/>
      <c r="E20" s="69"/>
      <c r="F20" s="69"/>
      <c r="G20" s="165" t="s">
        <v>399</v>
      </c>
      <c r="H20" s="180">
        <v>4510</v>
      </c>
    </row>
    <row r="21" spans="1:8" ht="14.45" customHeight="1">
      <c r="A21" s="14" t="s">
        <v>106</v>
      </c>
      <c r="B21" s="66" t="str">
        <f>КАГ!B16</f>
        <v>ОКС БПST</v>
      </c>
      <c r="C21" s="69"/>
      <c r="D21"/>
      <c r="E21" s="70"/>
      <c r="F21" s="70"/>
      <c r="G21" s="166" t="s">
        <v>386</v>
      </c>
      <c r="H21" s="167">
        <f>КАГ!H17</f>
        <v>4.0469999999999997</v>
      </c>
    </row>
    <row r="22" spans="1:8" ht="14.45" customHeight="1">
      <c r="A22" s="56" t="str">
        <f>КАГ!G18</f>
        <v>Доступ:</v>
      </c>
      <c r="B22" s="76" t="str">
        <f>КАГ!H18</f>
        <v>лучевой</v>
      </c>
      <c r="C22" s="69"/>
      <c r="D22" s="69"/>
      <c r="E22" s="69"/>
      <c r="F22" s="69"/>
      <c r="G22" s="183" t="str">
        <f>IF(B21=Вмешательства!F3,Вмешательства!F19,"")</f>
        <v/>
      </c>
      <c r="H22" s="184"/>
    </row>
    <row r="23" spans="1:8" ht="14.45" customHeight="1">
      <c r="A23" s="64" t="s">
        <v>389</v>
      </c>
      <c r="B23" s="171" t="s">
        <v>388</v>
      </c>
      <c r="C23" s="161"/>
      <c r="D23" s="161"/>
      <c r="E23" s="161"/>
      <c r="F23" s="161"/>
      <c r="G23"/>
      <c r="H23" s="38"/>
    </row>
    <row r="24" spans="1:8" ht="14.45" customHeight="1">
      <c r="A24" s="182" t="s">
        <v>387</v>
      </c>
      <c r="B24" s="169"/>
      <c r="C24" s="169"/>
      <c r="D24" s="169"/>
      <c r="E24" s="169"/>
      <c r="F24" s="169"/>
      <c r="G24" s="169"/>
      <c r="H24" s="170"/>
    </row>
    <row r="25" spans="1:8" ht="14.45" customHeight="1">
      <c r="A25" s="251" t="s">
        <v>532</v>
      </c>
      <c r="B25" s="252"/>
      <c r="C25" s="252"/>
      <c r="D25" s="252"/>
      <c r="E25" s="252"/>
      <c r="F25" s="252"/>
      <c r="G25" s="252"/>
      <c r="H25" s="253"/>
    </row>
    <row r="26" spans="1:8" ht="14.45" customHeight="1">
      <c r="A26" s="254"/>
      <c r="B26" s="252"/>
      <c r="C26" s="252"/>
      <c r="D26" s="252"/>
      <c r="E26" s="252"/>
      <c r="F26" s="252"/>
      <c r="G26" s="252"/>
      <c r="H26" s="253"/>
    </row>
    <row r="27" spans="1:8" ht="14.45" customHeight="1">
      <c r="A27" s="254"/>
      <c r="B27" s="252"/>
      <c r="C27" s="252"/>
      <c r="D27" s="252"/>
      <c r="E27" s="252"/>
      <c r="F27" s="252"/>
      <c r="G27" s="252"/>
      <c r="H27" s="253"/>
    </row>
    <row r="28" spans="1:8" ht="14.45" customHeight="1">
      <c r="A28" s="254"/>
      <c r="B28" s="252"/>
      <c r="C28" s="252"/>
      <c r="D28" s="252"/>
      <c r="E28" s="252"/>
      <c r="F28" s="252"/>
      <c r="G28" s="252"/>
      <c r="H28" s="253"/>
    </row>
    <row r="29" spans="1:8" ht="14.45" customHeight="1">
      <c r="A29" s="254"/>
      <c r="B29" s="252"/>
      <c r="C29" s="252"/>
      <c r="D29" s="252"/>
      <c r="E29" s="252"/>
      <c r="F29" s="252"/>
      <c r="G29" s="252"/>
      <c r="H29" s="253"/>
    </row>
    <row r="30" spans="1:8" ht="14.45" customHeight="1">
      <c r="A30" s="254"/>
      <c r="B30" s="252"/>
      <c r="C30" s="252"/>
      <c r="D30" s="252"/>
      <c r="E30" s="252"/>
      <c r="F30" s="252"/>
      <c r="G30" s="252"/>
      <c r="H30" s="253"/>
    </row>
    <row r="31" spans="1:8" ht="14.45" customHeight="1">
      <c r="A31" s="254"/>
      <c r="B31" s="252"/>
      <c r="C31" s="252"/>
      <c r="D31" s="252"/>
      <c r="E31" s="252"/>
      <c r="F31" s="252"/>
      <c r="G31" s="252"/>
      <c r="H31" s="253"/>
    </row>
    <row r="32" spans="1:8" ht="14.45" customHeight="1">
      <c r="A32" s="254"/>
      <c r="B32" s="252"/>
      <c r="C32" s="252"/>
      <c r="D32" s="252"/>
      <c r="E32" s="252"/>
      <c r="F32" s="252"/>
      <c r="G32" s="252"/>
      <c r="H32" s="253"/>
    </row>
    <row r="33" spans="1:12" ht="14.45" customHeight="1">
      <c r="A33" s="254"/>
      <c r="B33" s="252"/>
      <c r="C33" s="252"/>
      <c r="D33" s="252"/>
      <c r="E33" s="252"/>
      <c r="F33" s="252"/>
      <c r="G33" s="252"/>
      <c r="H33" s="253"/>
    </row>
    <row r="34" spans="1:12" ht="14.45" customHeight="1">
      <c r="A34" s="254"/>
      <c r="B34" s="252"/>
      <c r="C34" s="252"/>
      <c r="D34" s="252"/>
      <c r="E34" s="252"/>
      <c r="F34" s="252"/>
      <c r="G34" s="252"/>
      <c r="H34" s="253"/>
    </row>
    <row r="35" spans="1:12" ht="14.45" customHeight="1">
      <c r="A35" s="254"/>
      <c r="B35" s="252"/>
      <c r="C35" s="252"/>
      <c r="D35" s="252"/>
      <c r="E35" s="252"/>
      <c r="F35" s="252"/>
      <c r="G35" s="252"/>
      <c r="H35" s="253"/>
    </row>
    <row r="36" spans="1:12" ht="14.45" customHeight="1">
      <c r="A36" s="254"/>
      <c r="B36" s="252"/>
      <c r="C36" s="252"/>
      <c r="D36" s="252"/>
      <c r="E36" s="252"/>
      <c r="F36" s="252"/>
      <c r="G36" s="252"/>
      <c r="H36" s="253"/>
    </row>
    <row r="37" spans="1:12" ht="14.45" customHeight="1">
      <c r="A37" s="254"/>
      <c r="B37" s="252"/>
      <c r="C37" s="252"/>
      <c r="D37" s="252"/>
      <c r="E37" s="252"/>
      <c r="F37" s="252"/>
      <c r="G37" s="252"/>
      <c r="H37" s="253"/>
    </row>
    <row r="38" spans="1:12" ht="14.45" customHeight="1">
      <c r="A38" s="176" t="s">
        <v>393</v>
      </c>
      <c r="B38" s="174"/>
      <c r="C38" s="175"/>
      <c r="D38" s="175"/>
      <c r="E38" s="185" t="str">
        <f>IF(A6=Вмешательства!D4,Вмешательства!V16,IF(A6=Вмешательства!D5,Вмешательства!V16,"----"))</f>
        <v>----</v>
      </c>
      <c r="F38" s="175"/>
      <c r="G38" s="178"/>
      <c r="H38"/>
    </row>
    <row r="39" spans="1:12" ht="15.75">
      <c r="A39" s="172" t="s">
        <v>390</v>
      </c>
      <c r="B39" s="69" t="s">
        <v>392</v>
      </c>
      <c r="C39" s="120"/>
      <c r="D39" s="121" t="s">
        <v>187</v>
      </c>
      <c r="E39" s="71"/>
      <c r="F39" s="71"/>
      <c r="G39" s="71"/>
      <c r="H39" s="72"/>
    </row>
    <row r="40" spans="1:12" ht="14.45" customHeight="1">
      <c r="A40" s="173" t="s">
        <v>391</v>
      </c>
      <c r="B40" s="177" t="s">
        <v>530</v>
      </c>
      <c r="C40" s="119"/>
      <c r="D40" s="249" t="s">
        <v>533</v>
      </c>
      <c r="E40" s="249"/>
      <c r="F40" s="249"/>
      <c r="G40" s="249"/>
      <c r="H40" s="250"/>
    </row>
    <row r="41" spans="1:12" ht="14.45" customHeight="1">
      <c r="A41" s="31"/>
      <c r="B41" s="27"/>
      <c r="C41" s="119"/>
      <c r="D41" s="249"/>
      <c r="E41" s="249"/>
      <c r="F41" s="249"/>
      <c r="G41" s="249"/>
      <c r="H41" s="250"/>
    </row>
    <row r="42" spans="1:12" ht="14.45" customHeight="1">
      <c r="A42" s="31"/>
      <c r="B42" s="27"/>
      <c r="C42" s="119"/>
      <c r="D42" s="249"/>
      <c r="E42" s="249"/>
      <c r="F42" s="249"/>
      <c r="G42" s="249"/>
      <c r="H42" s="250"/>
    </row>
    <row r="43" spans="1:12" ht="14.45" customHeight="1">
      <c r="A43" s="31"/>
      <c r="B43" s="27"/>
      <c r="C43" s="119"/>
      <c r="D43" s="249"/>
      <c r="E43" s="249"/>
      <c r="F43" s="249"/>
      <c r="G43" s="249"/>
      <c r="H43" s="250"/>
    </row>
    <row r="44" spans="1:12" ht="14.45" customHeight="1">
      <c r="A44" s="31"/>
      <c r="B44" s="27"/>
      <c r="C44" s="119"/>
      <c r="D44" s="249"/>
      <c r="E44" s="249"/>
      <c r="F44" s="249"/>
      <c r="G44" s="249"/>
      <c r="H44" s="250"/>
      <c r="L44" s="159"/>
    </row>
    <row r="45" spans="1:12" ht="14.45" customHeight="1">
      <c r="A45" s="31"/>
      <c r="B45" s="27"/>
      <c r="C45" s="119"/>
      <c r="D45" s="249"/>
      <c r="E45" s="249"/>
      <c r="F45" s="249"/>
      <c r="G45" s="249"/>
      <c r="H45" s="250"/>
    </row>
    <row r="46" spans="1:12" ht="14.45" customHeight="1">
      <c r="A46" s="31"/>
      <c r="B46" s="27"/>
      <c r="C46" s="119"/>
      <c r="D46" s="249"/>
      <c r="E46" s="249"/>
      <c r="F46" s="249"/>
      <c r="G46" s="249"/>
      <c r="H46" s="250"/>
    </row>
    <row r="47" spans="1:12" ht="14.45" customHeight="1">
      <c r="A47" s="37"/>
      <c r="B47"/>
      <c r="C47" s="119"/>
      <c r="D47" s="249"/>
      <c r="E47" s="249"/>
      <c r="F47" s="249"/>
      <c r="G47" s="249"/>
      <c r="H47" s="250"/>
    </row>
    <row r="48" spans="1:12" ht="14.45" customHeight="1">
      <c r="A48" s="37"/>
      <c r="B48"/>
      <c r="C48" s="119"/>
      <c r="D48" s="249"/>
      <c r="E48" s="249"/>
      <c r="F48" s="249"/>
      <c r="G48" s="249"/>
      <c r="H48" s="250"/>
    </row>
    <row r="49" spans="1:8" ht="14.45" customHeight="1">
      <c r="A49" s="37"/>
      <c r="B49"/>
      <c r="C49" s="119"/>
      <c r="D49" s="249"/>
      <c r="E49" s="249"/>
      <c r="F49" s="249"/>
      <c r="G49" s="249"/>
      <c r="H49" s="250"/>
    </row>
    <row r="50" spans="1:8">
      <c r="A50" s="61" t="s">
        <v>204</v>
      </c>
      <c r="B50" s="62" t="s">
        <v>531</v>
      </c>
      <c r="C50"/>
      <c r="D50"/>
      <c r="E50"/>
      <c r="F50"/>
      <c r="G50"/>
      <c r="H50" s="38"/>
    </row>
    <row r="51" spans="1:8">
      <c r="A51" s="64" t="s">
        <v>206</v>
      </c>
      <c r="B51" s="65" t="s">
        <v>523</v>
      </c>
      <c r="C51"/>
      <c r="D51"/>
      <c r="E51"/>
      <c r="F51"/>
      <c r="G51" s="73" t="str">
        <f>$G$13</f>
        <v>Щербаков А.С.</v>
      </c>
      <c r="H51" s="63"/>
    </row>
    <row r="52" spans="1:8">
      <c r="A52" s="235" t="s">
        <v>369</v>
      </c>
      <c r="B52" s="236"/>
      <c r="C52" s="236"/>
      <c r="D52" s="236"/>
      <c r="E52" s="236"/>
      <c r="F52" s="237"/>
      <c r="G52"/>
      <c r="H52" s="38"/>
    </row>
    <row r="53" spans="1:8" ht="15" customHeight="1">
      <c r="A53" s="238"/>
      <c r="B53" s="239"/>
      <c r="C53" s="239"/>
      <c r="D53" s="239"/>
      <c r="E53" s="239"/>
      <c r="F53" s="240"/>
      <c r="G53" s="73" t="str">
        <f>IF(ISBLANK(H13),"",H13)</f>
        <v/>
      </c>
      <c r="H53" s="63"/>
    </row>
    <row r="54" spans="1:8">
      <c r="A54" s="241"/>
      <c r="B54" s="242"/>
      <c r="C54" s="242"/>
      <c r="D54" s="242"/>
      <c r="E54" s="242"/>
      <c r="F54" s="243"/>
      <c r="G54" s="30"/>
      <c r="H54" s="40"/>
    </row>
    <row r="55" spans="1:8">
      <c r="A55"/>
      <c r="B55"/>
      <c r="C55"/>
      <c r="D55"/>
      <c r="E55"/>
      <c r="F55"/>
      <c r="G55"/>
      <c r="H55"/>
    </row>
    <row r="56" spans="1:8"/>
    <row r="57" spans="1:8"/>
    <row r="58" spans="1:8"/>
    <row r="59" spans="1:8"/>
    <row r="60" spans="1:8" ht="18" hidden="1" customHeight="1"/>
  </sheetData>
  <sheetProtection formatCells="0" formatColumns="0"/>
  <mergeCells count="7">
    <mergeCell ref="A52:F54"/>
    <mergeCell ref="C8:E8"/>
    <mergeCell ref="A6:H7"/>
    <mergeCell ref="C9:E9"/>
    <mergeCell ref="C10:E10"/>
    <mergeCell ref="D40:H49"/>
    <mergeCell ref="A25:H37"/>
  </mergeCells>
  <phoneticPr fontId="14" type="noConversion"/>
  <dataValidations count="10">
    <dataValidation type="list" allowBlank="1" showInputMessage="1" showErrorMessage="1" sqref="B50">
      <formula1>"50 ml,100 ml,150 ml,200 ml,250 ml,300 ml,350 ml,400 ml,450 ml,500 ml,"</formula1>
    </dataValidation>
    <dataValidation type="list" allowBlank="1" showInputMessage="1" showErrorMessage="1" sqref="B51">
      <formula1>"Извлечён,Оставлен,М/О ушито Angio-Seal™"</formula1>
    </dataValidation>
    <dataValidation type="list" allowBlank="1" showInputMessage="1" showErrorMessage="1" sqref="A50">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G9:G10">
      <formula1>"DES,BMS"</formula1>
    </dataValidation>
    <dataValidation type="list" allowBlank="1" showInputMessage="1" showErrorMessage="1" sqref="B23">
      <formula1>"м/а,общий"</formula1>
    </dataValidation>
    <dataValidation type="list" allowBlank="1" showInputMessage="1" showErrorMessage="1" sqref="B39">
      <mc:AlternateContent xmlns:x12ac="http://schemas.microsoft.com/office/spreadsheetml/2011/1/ac" xmlns:mc="http://schemas.openxmlformats.org/markup-compatibility/2006">
        <mc:Choice Requires="x12ac">
          <x12ac:list>НЕТ,"ДА, см описание ",</x12ac:list>
        </mc:Choice>
        <mc:Fallback>
          <formula1>"НЕТ,ДА, см описание ,"</formula1>
        </mc:Fallback>
      </mc:AlternateContent>
    </dataValidation>
    <dataValidation type="list" allowBlank="1" showInputMessage="1" showErrorMessage="1" sqref="B40">
      <formula1>"50 ml,100 ml,150 ml,200 ml,250 ml,300 ml,350 ml,400 ml,30 ml,20 ml,"</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Вмешательства!$F$23:$F$24</xm:f>
          </x14:formula1>
          <xm:sqref>H8</xm:sqref>
        </x14:dataValidation>
        <x14:dataValidation type="list" allowBlank="1" showInputMessage="1" showErrorMessage="1">
          <x14:formula1>
            <xm:f>Вмешательства!$H$2:$T$2</xm:f>
          </x14:formula1>
          <xm:sqref>F8:F10</xm:sqref>
        </x14:dataValidation>
        <x14:dataValidation type="list" allowBlank="1" showInputMessage="1" showErrorMessage="1">
          <x14:formula1>
            <xm:f>'Расходный материал'!$AN$2:$AN$3</xm:f>
          </x14:formula1>
          <xm:sqref>G8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9"/>
  <sheetViews>
    <sheetView showGridLines="0" zoomScaleNormal="100" workbookViewId="0">
      <selection activeCell="A3" sqref="A3"/>
    </sheetView>
  </sheetViews>
  <sheetFormatPr defaultColWidth="0" defaultRowHeight="15" zeroHeight="1"/>
  <cols>
    <col min="1" max="1" width="68.85546875" customWidth="1"/>
    <col min="2" max="5" width="9.140625" style="208" customWidth="1"/>
    <col min="6" max="16384" width="9.140625" hidden="1"/>
  </cols>
  <sheetData>
    <row r="1" spans="1:1">
      <c r="A1" s="3" t="str">
        <f>КАГ!A6</f>
        <v>КОРОНАРОШУНТОГРАФИЯ</v>
      </c>
    </row>
    <row r="2" spans="1:1"/>
    <row r="3" spans="1:1" ht="354" customHeight="1">
      <c r="A3" s="209" t="str">
        <f>КАГ!A18&amp;"   "&amp;КАГ!B18&amp;CHAR(10)&amp;CHAR(10)&amp;КАГ!A20&amp;"   "&amp;КАГ!B20&amp;CHAR(10)&amp;CHAR(10)&amp;КАГ!A22&amp;"   "&amp;КАГ!B22&amp;CHAR(10)&amp;CHAR(10)&amp;КАГ!A27&amp;"   "&amp;КАГ!B27&amp;CHAR(10)&amp;CHAR(10)&amp;КАГ!A32&amp;"   "&amp;КАГ!B32</f>
        <v>Тип:   Левый
Ствол ЛКА:   стеноз дистальной трети 50%
Бассейн ПНА:   хроническая оккюзия от устья, TIMI 0
Бассейн  ОА:   стеноз проксимального сегмента 50%, TIMI III
Бассейн ПКА:   гипоплазия, диффузно поражена, без значимых стенозом, TIMI III</v>
      </c>
    </row>
    <row r="4" spans="1:1">
      <c r="A4" s="208"/>
    </row>
    <row r="5" spans="1:1">
      <c r="A5" s="208"/>
    </row>
    <row r="6" spans="1:1">
      <c r="A6" s="208"/>
    </row>
    <row r="7" spans="1:1">
      <c r="A7" s="208"/>
    </row>
    <row r="8" spans="1:1">
      <c r="A8" s="208"/>
    </row>
    <row r="9" spans="1:1">
      <c r="A9" s="208"/>
    </row>
  </sheetData>
  <sheetProtection algorithmName="SHA-512" hashValue="rItlFI2sr9MBbizk9S363YSH5LG3rpss7g6WljbrUU5/IpEGnZJAbbFZO1mioNsHSl5GujOQ/fdgOkwY7YRPIA==" saltValue="jH6Se7e9WOAIDe8Wq9chFg==" spinCount="100000" sheet="1" objects="1" scenarios="1"/>
  <printOptions horizontalCentered="1"/>
  <pageMargins left="0.70866141732283472" right="0.70866141732283472" top="0.74803149606299213" bottom="0.74803149606299213" header="0.31496062992125984" footer="0.31496062992125984"/>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showWhiteSpace="0" zoomScale="90" zoomScaleNormal="90" zoomScaleSheetLayoutView="100" zoomScalePageLayoutView="80" workbookViewId="0">
      <selection activeCell="C17" sqref="C17"/>
    </sheetView>
  </sheetViews>
  <sheetFormatPr defaultColWidth="0" defaultRowHeight="15" zeroHeight="1"/>
  <cols>
    <col min="1" max="1" width="18.7109375" style="212" customWidth="1"/>
    <col min="2" max="2" width="45.7109375" style="212" customWidth="1"/>
    <col min="3" max="3" width="15.7109375" style="212" customWidth="1"/>
    <col min="4" max="4" width="20.7109375" style="212" customWidth="1"/>
    <col min="5" max="5" width="7.7109375" style="212" bestFit="1" customWidth="1"/>
    <col min="6" max="6" width="10.7109375" style="212" bestFit="1" customWidth="1"/>
    <col min="7" max="8" width="10.7109375" style="212" hidden="1" customWidth="1"/>
    <col min="9" max="13" width="11.7109375" style="212" hidden="1" customWidth="1"/>
    <col min="14" max="16384" width="9.140625" style="212" hidden="1"/>
  </cols>
  <sheetData>
    <row r="1" spans="1:4">
      <c r="A1" s="26"/>
      <c r="B1" s="111"/>
      <c r="C1" s="111"/>
      <c r="D1" s="112"/>
    </row>
    <row r="2" spans="1:4" ht="19.899999999999999" customHeight="1">
      <c r="A2" s="95" t="s">
        <v>98</v>
      </c>
      <c r="B2" s="96">
        <f>$D$10</f>
        <v>45720</v>
      </c>
      <c r="C2" s="151"/>
      <c r="D2" s="97" t="s">
        <v>99</v>
      </c>
    </row>
    <row r="3" spans="1:4" ht="20.45" customHeight="1">
      <c r="A3" s="98" t="s">
        <v>97</v>
      </c>
      <c r="B3" s="99"/>
      <c r="C3"/>
      <c r="D3" s="38"/>
    </row>
    <row r="4" spans="1:4" ht="16.5" thickBot="1">
      <c r="A4" s="146" t="s">
        <v>195</v>
      </c>
      <c r="B4" s="147" t="s">
        <v>105</v>
      </c>
      <c r="C4" s="148" t="s">
        <v>15</v>
      </c>
      <c r="D4" s="203" t="str">
        <f>КАГ!$B$11</f>
        <v>Козьмин П.Н.</v>
      </c>
    </row>
    <row r="5" spans="1:4" ht="15.75" thickTop="1">
      <c r="A5"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A06.10.006.002</v>
      </c>
      <c r="B5" s="132" t="str">
        <f>IF(ISBLANK(КАГ!A6),"",КАГ!A6)</f>
        <v>КОРОНАРОШУНТОГРАФИЯ</v>
      </c>
      <c r="C5" s="130" t="s">
        <v>8</v>
      </c>
      <c r="D5" s="101">
        <f>КАГ!$B$12</f>
        <v>18343</v>
      </c>
    </row>
    <row r="6" spans="1:4">
      <c r="A6" s="131"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
      </c>
      <c r="B6" s="133">
        <f>ЧКВ!A6</f>
        <v>0</v>
      </c>
      <c r="C6" s="130" t="s">
        <v>10</v>
      </c>
      <c r="D6" s="102">
        <f>DATEDIF(D5,D10,"y")</f>
        <v>74</v>
      </c>
    </row>
    <row r="7" spans="1:4">
      <c r="A7" s="37"/>
      <c r="B7"/>
      <c r="C7" s="100" t="s">
        <v>12</v>
      </c>
      <c r="D7" s="102">
        <f>КАГ!$B$14</f>
        <v>6024</v>
      </c>
    </row>
    <row r="8" spans="1:4">
      <c r="A8" s="193" t="str">
        <f>ЧКВ!$A$9</f>
        <v xml:space="preserve">Код модели:  </v>
      </c>
      <c r="B8" s="103"/>
      <c r="C8" s="100" t="s">
        <v>133</v>
      </c>
      <c r="D8" s="102">
        <f>КАГ!$B$15</f>
        <v>35</v>
      </c>
    </row>
    <row r="9" spans="1:4">
      <c r="A9" s="193" t="str">
        <f>ЧКВ!$A$10</f>
        <v xml:space="preserve">Код метода:  </v>
      </c>
      <c r="B9"/>
      <c r="C9" s="104" t="s">
        <v>106</v>
      </c>
      <c r="D9" s="102" t="str">
        <f>КАГ!$B$16</f>
        <v>ОКС БПST</v>
      </c>
    </row>
    <row r="10" spans="1:4">
      <c r="A10" s="194"/>
      <c r="B10" s="30"/>
      <c r="C10" s="149" t="s">
        <v>13</v>
      </c>
      <c r="D10" s="150">
        <f>КАГ!$B$8</f>
        <v>45720</v>
      </c>
    </row>
    <row r="11" spans="1:4">
      <c r="A11" s="26"/>
      <c r="B11" s="111"/>
      <c r="C11" s="111"/>
      <c r="D11" s="112"/>
    </row>
    <row r="12" spans="1:4" ht="18.75" customHeight="1">
      <c r="A12" s="135" t="s">
        <v>334</v>
      </c>
      <c r="B12" s="136" t="s">
        <v>0</v>
      </c>
      <c r="C12" s="136" t="s">
        <v>14</v>
      </c>
      <c r="D12" s="137" t="s">
        <v>100</v>
      </c>
    </row>
    <row r="13" spans="1:4" ht="27.75" customHeight="1">
      <c r="A13" s="138"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52" t="s">
        <v>325</v>
      </c>
      <c r="C13" s="186"/>
      <c r="D13" s="139">
        <v>1</v>
      </c>
    </row>
    <row r="14" spans="1:4" ht="27.75" customHeight="1">
      <c r="A14" s="140"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4" s="153" t="s">
        <v>526</v>
      </c>
      <c r="C14" s="134"/>
      <c r="D14" s="139">
        <v>1</v>
      </c>
    </row>
    <row r="15" spans="1:4" ht="27.75" customHeight="1">
      <c r="A15" s="140" t="str">
        <f>IFERROR(INDEX(Расходка[[Тип расходного материала ]],MATCH(Карта_Учёта[[#This Row],[Наименование расходного материала]],Расходка[Наименование расходного материала],0)),"")</f>
        <v/>
      </c>
      <c r="B15" s="153"/>
      <c r="C15" s="134"/>
      <c r="D15" s="139"/>
    </row>
    <row r="16" spans="1:4" ht="27.75" customHeight="1">
      <c r="A16" s="140" t="str">
        <f>IFERROR(INDEX(Расходка[[Тип расходного материала ]],MATCH(Карта_Учёта[[#This Row],[Наименование расходного материала]],Расходка[Наименование расходного материала],0)),"")</f>
        <v/>
      </c>
      <c r="B16" s="153"/>
      <c r="C16" s="134"/>
      <c r="D16" s="139"/>
    </row>
    <row r="17" spans="1:4" ht="27.75" customHeight="1">
      <c r="A17" s="140" t="str">
        <f>IFERROR(INDEX(Расходка[[Тип расходного материала ]],MATCH(Карта_Учёта[[#This Row],[Наименование расходного материала]],Расходка[Наименование расходного материала],0)),"")</f>
        <v/>
      </c>
      <c r="B17" s="153"/>
      <c r="C17" s="134"/>
      <c r="D17" s="139"/>
    </row>
    <row r="18" spans="1:4" ht="27.75" customHeight="1">
      <c r="A18" s="140" t="str">
        <f>IFERROR(INDEX(Расходка[[Тип расходного материала ]],MATCH(Карта_Учёта[[#This Row],[Наименование расходного материала]],Расходка[Наименование расходного материала],0)),"")</f>
        <v/>
      </c>
      <c r="B18" s="153"/>
      <c r="C18" s="134"/>
      <c r="D18" s="139"/>
    </row>
    <row r="19" spans="1:4" ht="27.75" customHeight="1">
      <c r="A19" s="140" t="str">
        <f>IFERROR(INDEX(Расходка[[Тип расходного материала ]],MATCH(Карта_Учёта[[#This Row],[Наименование расходного материала]],Расходка[Наименование расходного материала],0)),"")</f>
        <v/>
      </c>
      <c r="B19" s="153"/>
      <c r="C19" s="181"/>
      <c r="D19" s="139"/>
    </row>
    <row r="20" spans="1:4" ht="27.75" customHeight="1">
      <c r="A20" s="140" t="str">
        <f>IFERROR(INDEX(Расходка[[Тип расходного материала ]],MATCH(Карта_Учёта[[#This Row],[Наименование расходного материала]],Расходка[Наименование расходного материала],0)),"")</f>
        <v/>
      </c>
      <c r="B20" s="154"/>
      <c r="C20" s="134"/>
      <c r="D20" s="139"/>
    </row>
    <row r="21" spans="1:4" ht="27.75" customHeight="1">
      <c r="A21" s="140" t="str">
        <f>IFERROR(INDEX(Расходка[[Тип расходного материала ]],MATCH(Карта_Учёта[[#This Row],[Наименование расходного материала]],Расходка[Наименование расходного материала],0)),"")</f>
        <v/>
      </c>
      <c r="B21" s="153"/>
      <c r="C21" s="134"/>
      <c r="D21" s="139"/>
    </row>
    <row r="22" spans="1:4" ht="27.75" customHeight="1">
      <c r="A22" s="140" t="str">
        <f>IFERROR(INDEX(Расходка[[Тип расходного материала ]],MATCH(Карта_Учёта[[#This Row],[Наименование расходного материала]],Расходка[Наименование расходного материала],0)),"")</f>
        <v/>
      </c>
      <c r="B22" s="153"/>
      <c r="C22" s="134"/>
      <c r="D22" s="141"/>
    </row>
    <row r="23" spans="1:4" ht="27.75" customHeight="1">
      <c r="A23" s="140" t="str">
        <f>IFERROR(INDEX(Расходка[[Тип расходного материала ]],MATCH(Карта_Учёта[[#This Row],[Наименование расходного материала]],Расходка[Наименование расходного материала],0)),"")</f>
        <v/>
      </c>
      <c r="B23" s="153"/>
      <c r="C23" s="134"/>
      <c r="D23" s="141"/>
    </row>
    <row r="24" spans="1:4" ht="27.75" customHeight="1">
      <c r="A24" s="142" t="str">
        <f>IFERROR(INDEX(Расходка[[Тип расходного материала ]],MATCH(Карта_Учёта[[#This Row],[Наименование расходного материала]],Расходка[Наименование расходного материала],0)),"")</f>
        <v/>
      </c>
      <c r="B24" s="153"/>
      <c r="C24" s="134"/>
      <c r="D24" s="141"/>
    </row>
    <row r="25" spans="1:4" ht="27.75" customHeight="1">
      <c r="A25" s="143" t="str">
        <f>IFERROR(INDEX(Расходка[[Тип расходного материала ]],MATCH(Карта_Учёта[[#This Row],[Наименование расходного материала]],Расходка[Наименование расходного материала],0)),"")</f>
        <v/>
      </c>
      <c r="B25" s="155"/>
      <c r="C25" s="144"/>
      <c r="D25" s="145"/>
    </row>
    <row r="26" spans="1:4" ht="14.45" customHeight="1">
      <c r="A26" s="105" t="str">
        <f>IFERROR(INDEX(Расходка[[Тип расходного материала ]],MATCH(Карта_Учёта[[#This Row],[Наименование расходного материала]],Расходка[Наименование расходного материала],0)),"")</f>
        <v/>
      </c>
      <c r="B26" s="107"/>
      <c r="C26" s="108"/>
      <c r="D26" s="106"/>
    </row>
    <row r="27" spans="1:4" ht="14.45" customHeight="1">
      <c r="A27" s="105" t="str">
        <f>IFERROR(INDEX(Расходка[[Тип расходного материала ]],MATCH(Карта_Учёта[[#This Row],[Наименование расходного материала]],Расходка[Наименование расходного материала],0)),"")</f>
        <v/>
      </c>
      <c r="B27" s="107"/>
      <c r="C27" s="108"/>
      <c r="D27" s="106"/>
    </row>
    <row r="28" spans="1:4" ht="14.45" customHeight="1">
      <c r="A28" s="37" t="s">
        <v>11</v>
      </c>
      <c r="B28" t="s">
        <v>11</v>
      </c>
      <c r="C28"/>
      <c r="D28" s="38"/>
    </row>
    <row r="29" spans="1:4" ht="14.45" customHeight="1">
      <c r="A29" s="37" t="s">
        <v>11</v>
      </c>
      <c r="B29" t="s">
        <v>11</v>
      </c>
      <c r="C29"/>
      <c r="D29" s="38"/>
    </row>
    <row r="30" spans="1:4" ht="14.45" customHeight="1">
      <c r="A30" s="37" t="s">
        <v>11</v>
      </c>
      <c r="B30" t="s">
        <v>11</v>
      </c>
      <c r="C30"/>
      <c r="D30" s="38"/>
    </row>
    <row r="31" spans="1:4" ht="14.45" customHeight="1">
      <c r="A31" s="37" t="s">
        <v>11</v>
      </c>
      <c r="B31" t="s">
        <v>11</v>
      </c>
      <c r="C31"/>
      <c r="D31" s="38"/>
    </row>
    <row r="32" spans="1:4" ht="14.45" customHeight="1">
      <c r="A32" s="37" t="s">
        <v>11</v>
      </c>
      <c r="B32"/>
      <c r="C32"/>
      <c r="D32" s="38"/>
    </row>
    <row r="33" spans="1:4" ht="14.45" customHeight="1">
      <c r="A33" s="37"/>
      <c r="B33"/>
      <c r="C33"/>
      <c r="D33" s="38"/>
    </row>
    <row r="34" spans="1:4" ht="14.45" customHeight="1">
      <c r="A34" s="37"/>
      <c r="B34"/>
      <c r="C34"/>
      <c r="D34" s="38"/>
    </row>
    <row r="35" spans="1:4" ht="19.899999999999999" customHeight="1">
      <c r="A35" s="37"/>
      <c r="B35" s="109" t="s">
        <v>375</v>
      </c>
      <c r="C35" s="12"/>
      <c r="D35" s="38"/>
    </row>
    <row r="36" spans="1:4" ht="19.899999999999999" customHeight="1">
      <c r="A36" s="37"/>
      <c r="B36"/>
      <c r="C36"/>
      <c r="D36" s="38"/>
    </row>
    <row r="37" spans="1:4" ht="19.899999999999999" customHeight="1">
      <c r="A37" s="37"/>
      <c r="B37" s="116" t="str">
        <f>"Оператор:"&amp;" "&amp;ЧКВ!$G$13</f>
        <v>Оператор: Щербаков А.С.</v>
      </c>
      <c r="C37" s="12"/>
      <c r="D37" s="38"/>
    </row>
    <row r="38" spans="1:4" ht="19.899999999999999" customHeight="1">
      <c r="A38" s="37"/>
      <c r="B38"/>
      <c r="C38"/>
      <c r="D38" s="38"/>
    </row>
    <row r="39" spans="1:4" ht="19.899999999999999" customHeight="1">
      <c r="A39" s="37"/>
      <c r="B39" s="110" t="s">
        <v>514</v>
      </c>
      <c r="C39" s="113"/>
      <c r="D39" s="38"/>
    </row>
    <row r="40" spans="1:4" ht="19.899999999999999" customHeight="1">
      <c r="A40" s="39"/>
      <c r="B40" s="30"/>
      <c r="C40" s="30"/>
      <c r="D40" s="40"/>
    </row>
    <row r="41" spans="1:4" ht="14.45" customHeight="1">
      <c r="C41" s="213"/>
    </row>
    <row r="42" spans="1:4"/>
    <row r="43" spans="1:4"/>
    <row r="44" spans="1:4"/>
    <row r="45" spans="1:4"/>
    <row r="46" spans="1:4"/>
  </sheetData>
  <sheetProtection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scale="9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90" zoomScaleNormal="90" workbookViewId="0">
      <pane ySplit="1" topLeftCell="A2" activePane="bottomLeft" state="frozen"/>
      <selection pane="bottomLeft" activeCell="F26" sqref="F26"/>
    </sheetView>
  </sheetViews>
  <sheetFormatPr defaultRowHeight="15" outlineLevelCol="1"/>
  <cols>
    <col min="1" max="1" width="5" customWidth="1"/>
    <col min="2" max="2" width="13.28515625" hidden="1" customWidth="1"/>
    <col min="3" max="3" width="25" customWidth="1"/>
    <col min="4" max="4" width="56.7109375" customWidth="1"/>
    <col min="6" max="6" width="33.85546875" customWidth="1"/>
    <col min="7" max="7" width="12.28515625" bestFit="1" customWidth="1"/>
    <col min="8" max="20" width="6.7109375" hidden="1" customWidth="1" outlineLevel="1"/>
    <col min="21" max="21" width="6.7109375" bestFit="1" customWidth="1" collapsed="1"/>
    <col min="22" max="22" width="44.140625" bestFit="1" customWidth="1"/>
    <col min="23" max="23" width="7.7109375" bestFit="1" customWidth="1"/>
    <col min="25" max="25" width="15.28515625" bestFit="1" customWidth="1"/>
  </cols>
  <sheetData>
    <row r="1" spans="1:23" ht="24.6" customHeight="1">
      <c r="A1" s="6" t="s">
        <v>2</v>
      </c>
      <c r="B1" s="6" t="s">
        <v>7</v>
      </c>
      <c r="C1" s="7" t="s">
        <v>16</v>
      </c>
      <c r="D1" s="9" t="s">
        <v>17</v>
      </c>
      <c r="V1" t="s">
        <v>227</v>
      </c>
    </row>
    <row r="2" spans="1:23">
      <c r="A2" s="8">
        <f>ROW(Вмешательства[[#This Row],[№]])-1</f>
        <v>1</v>
      </c>
      <c r="B2" s="2" t="s">
        <v>9</v>
      </c>
      <c r="C2" s="8" t="s">
        <v>228</v>
      </c>
      <c r="D2" s="5" t="s">
        <v>213</v>
      </c>
      <c r="F2" t="s">
        <v>106</v>
      </c>
      <c r="G2" s="3" t="s">
        <v>484</v>
      </c>
      <c r="H2" s="3">
        <v>1</v>
      </c>
      <c r="I2" s="3">
        <v>2</v>
      </c>
      <c r="J2" s="3">
        <v>3</v>
      </c>
      <c r="K2" s="3">
        <v>4</v>
      </c>
      <c r="L2" s="3">
        <v>5</v>
      </c>
      <c r="M2" s="3">
        <v>6</v>
      </c>
      <c r="N2" s="3">
        <v>7</v>
      </c>
      <c r="O2" s="3">
        <v>8</v>
      </c>
      <c r="P2" s="3">
        <v>9</v>
      </c>
      <c r="Q2" s="3">
        <v>10</v>
      </c>
      <c r="R2" s="3">
        <v>11</v>
      </c>
      <c r="S2" s="3">
        <v>12</v>
      </c>
      <c r="T2" s="3">
        <v>13</v>
      </c>
      <c r="V2" t="s">
        <v>217</v>
      </c>
    </row>
    <row r="3" spans="1:23">
      <c r="A3" s="8">
        <f>ROW(Вмешательства[[#This Row],[№]])-1</f>
        <v>2</v>
      </c>
      <c r="B3" s="2" t="s">
        <v>18</v>
      </c>
      <c r="C3" s="8" t="s">
        <v>85</v>
      </c>
      <c r="D3" s="5" t="s">
        <v>214</v>
      </c>
      <c r="F3" t="s">
        <v>483</v>
      </c>
      <c r="G3" s="3" t="s">
        <v>484</v>
      </c>
      <c r="H3" s="3">
        <v>21166</v>
      </c>
      <c r="I3" s="3">
        <v>21166</v>
      </c>
      <c r="J3" s="3">
        <v>21166</v>
      </c>
      <c r="K3" s="3">
        <v>21166</v>
      </c>
      <c r="L3" s="3">
        <v>21166</v>
      </c>
      <c r="M3" s="3">
        <v>21166</v>
      </c>
      <c r="N3" s="3">
        <v>21166</v>
      </c>
      <c r="O3" s="3">
        <v>21166</v>
      </c>
      <c r="P3" s="3">
        <v>21166</v>
      </c>
      <c r="Q3" s="3">
        <v>21166</v>
      </c>
      <c r="R3" s="3">
        <v>21166</v>
      </c>
      <c r="S3" s="3">
        <v>21166</v>
      </c>
      <c r="T3" s="3">
        <v>21166</v>
      </c>
      <c r="V3" t="s">
        <v>218</v>
      </c>
    </row>
    <row r="4" spans="1:23" ht="30">
      <c r="A4" s="8">
        <f>ROW(Вмешательства[[#This Row],[№]])-1</f>
        <v>3</v>
      </c>
      <c r="B4" s="2" t="s">
        <v>38</v>
      </c>
      <c r="C4" s="8" t="s">
        <v>39</v>
      </c>
      <c r="D4" s="5" t="s">
        <v>208</v>
      </c>
      <c r="F4" t="s">
        <v>310</v>
      </c>
      <c r="G4" s="3" t="s">
        <v>484</v>
      </c>
      <c r="H4" s="3">
        <v>21167</v>
      </c>
      <c r="I4" s="3">
        <v>21167</v>
      </c>
      <c r="J4" s="3">
        <v>21167</v>
      </c>
      <c r="K4" s="3">
        <v>21167</v>
      </c>
      <c r="L4" s="3">
        <v>21167</v>
      </c>
      <c r="M4" s="3">
        <v>21167</v>
      </c>
      <c r="N4" s="3">
        <v>21167</v>
      </c>
      <c r="O4" s="3">
        <v>21167</v>
      </c>
      <c r="P4" s="3">
        <v>21167</v>
      </c>
      <c r="Q4" s="3">
        <v>21167</v>
      </c>
      <c r="R4" s="3">
        <v>21167</v>
      </c>
      <c r="S4" s="3">
        <v>21167</v>
      </c>
      <c r="T4" s="3">
        <v>21167</v>
      </c>
      <c r="V4" t="s">
        <v>219</v>
      </c>
    </row>
    <row r="5" spans="1:23">
      <c r="A5" s="8">
        <f>ROW(Вмешательства[[#This Row],[№]])-1</f>
        <v>4</v>
      </c>
      <c r="B5" s="2"/>
      <c r="C5" s="8" t="s">
        <v>82</v>
      </c>
      <c r="D5" s="5" t="s">
        <v>242</v>
      </c>
      <c r="F5" t="s">
        <v>131</v>
      </c>
      <c r="G5" s="3" t="s">
        <v>484</v>
      </c>
      <c r="H5" s="3">
        <v>22227</v>
      </c>
      <c r="I5" s="3">
        <v>22228</v>
      </c>
      <c r="J5" s="3">
        <v>22229</v>
      </c>
      <c r="K5" s="3">
        <v>22229</v>
      </c>
      <c r="L5" s="3">
        <v>22229</v>
      </c>
      <c r="M5" s="3">
        <v>22229</v>
      </c>
      <c r="N5" s="3">
        <v>22229</v>
      </c>
      <c r="O5" s="3">
        <v>22229</v>
      </c>
      <c r="P5" s="3">
        <v>22229</v>
      </c>
      <c r="Q5" s="3">
        <v>22229</v>
      </c>
      <c r="R5" s="3">
        <v>22229</v>
      </c>
      <c r="S5" s="3">
        <v>22229</v>
      </c>
      <c r="T5" s="3">
        <v>22229</v>
      </c>
      <c r="V5" t="s">
        <v>220</v>
      </c>
    </row>
    <row r="6" spans="1:23" ht="30">
      <c r="A6" s="8">
        <f>ROW(Вмешательства[[#This Row],[№]])-1</f>
        <v>5</v>
      </c>
      <c r="B6" s="2" t="s">
        <v>36</v>
      </c>
      <c r="C6" s="8" t="s">
        <v>37</v>
      </c>
      <c r="D6" s="5" t="s">
        <v>398</v>
      </c>
      <c r="F6" t="s">
        <v>125</v>
      </c>
      <c r="G6" s="3" t="s">
        <v>484</v>
      </c>
      <c r="H6" s="3" t="e">
        <f>NA()</f>
        <v>#N/A</v>
      </c>
      <c r="I6" s="3" t="e">
        <f>NA()</f>
        <v>#N/A</v>
      </c>
      <c r="J6" s="3" t="e">
        <f>NA()</f>
        <v>#N/A</v>
      </c>
      <c r="K6" s="3" t="e">
        <f>NA()</f>
        <v>#N/A</v>
      </c>
      <c r="L6" s="3" t="e">
        <f>NA()</f>
        <v>#N/A</v>
      </c>
      <c r="M6" s="3" t="e">
        <f>NA()</f>
        <v>#N/A</v>
      </c>
      <c r="N6" s="3" t="e">
        <f>NA()</f>
        <v>#N/A</v>
      </c>
      <c r="O6" s="3" t="e">
        <f>NA()</f>
        <v>#N/A</v>
      </c>
      <c r="P6" s="3" t="e">
        <f>NA()</f>
        <v>#N/A</v>
      </c>
      <c r="Q6" s="3" t="e">
        <f>NA()</f>
        <v>#N/A</v>
      </c>
      <c r="R6" s="3" t="e">
        <f>NA()</f>
        <v>#N/A</v>
      </c>
      <c r="S6" s="3" t="e">
        <f>NA()</f>
        <v>#N/A</v>
      </c>
      <c r="T6" s="3" t="e">
        <f>NA()</f>
        <v>#N/A</v>
      </c>
      <c r="V6" t="s">
        <v>221</v>
      </c>
    </row>
    <row r="7" spans="1:23" ht="30">
      <c r="A7" s="8">
        <f>ROW(Вмешательства[[#This Row],[№]])-1</f>
        <v>6</v>
      </c>
      <c r="B7" s="2"/>
      <c r="C7" s="8" t="s">
        <v>229</v>
      </c>
      <c r="D7" s="5" t="s">
        <v>132</v>
      </c>
      <c r="F7" t="s">
        <v>127</v>
      </c>
      <c r="G7" s="3" t="s">
        <v>484</v>
      </c>
      <c r="H7" s="3" t="e">
        <f>NA()</f>
        <v>#N/A</v>
      </c>
      <c r="I7" s="3" t="e">
        <f>NA()</f>
        <v>#N/A</v>
      </c>
      <c r="J7" s="3" t="e">
        <f>NA()</f>
        <v>#N/A</v>
      </c>
      <c r="K7" s="3" t="e">
        <f>NA()</f>
        <v>#N/A</v>
      </c>
      <c r="L7" s="3" t="e">
        <f>NA()</f>
        <v>#N/A</v>
      </c>
      <c r="M7" s="3" t="e">
        <f>NA()</f>
        <v>#N/A</v>
      </c>
      <c r="N7" s="3" t="e">
        <f>NA()</f>
        <v>#N/A</v>
      </c>
      <c r="O7" s="3" t="e">
        <f>NA()</f>
        <v>#N/A</v>
      </c>
      <c r="P7" s="3" t="e">
        <f>NA()</f>
        <v>#N/A</v>
      </c>
      <c r="Q7" s="3" t="e">
        <f>NA()</f>
        <v>#N/A</v>
      </c>
      <c r="R7" s="3" t="e">
        <f>NA()</f>
        <v>#N/A</v>
      </c>
      <c r="S7" s="3" t="e">
        <f>NA()</f>
        <v>#N/A</v>
      </c>
      <c r="T7" s="3" t="e">
        <f>NA()</f>
        <v>#N/A</v>
      </c>
      <c r="V7" t="s">
        <v>222</v>
      </c>
    </row>
    <row r="8" spans="1:23">
      <c r="A8" s="8">
        <f>ROW(Вмешательства[[#This Row],[№]])-1</f>
        <v>7</v>
      </c>
      <c r="B8" s="2"/>
      <c r="C8" s="8" t="s">
        <v>80</v>
      </c>
      <c r="D8" s="5" t="s">
        <v>247</v>
      </c>
      <c r="F8" t="s">
        <v>126</v>
      </c>
      <c r="G8" s="3" t="s">
        <v>484</v>
      </c>
      <c r="H8" s="3" t="e">
        <f>NA()</f>
        <v>#N/A</v>
      </c>
      <c r="I8" s="3" t="e">
        <f>NA()</f>
        <v>#N/A</v>
      </c>
      <c r="J8" s="3" t="e">
        <f>NA()</f>
        <v>#N/A</v>
      </c>
      <c r="K8" s="3" t="e">
        <f>NA()</f>
        <v>#N/A</v>
      </c>
      <c r="L8" s="3" t="e">
        <f>NA()</f>
        <v>#N/A</v>
      </c>
      <c r="M8" s="3" t="e">
        <f>NA()</f>
        <v>#N/A</v>
      </c>
      <c r="N8" s="3" t="e">
        <f>NA()</f>
        <v>#N/A</v>
      </c>
      <c r="O8" s="3" t="e">
        <f>NA()</f>
        <v>#N/A</v>
      </c>
      <c r="P8" s="3" t="e">
        <f>NA()</f>
        <v>#N/A</v>
      </c>
      <c r="Q8" s="3" t="e">
        <f>NA()</f>
        <v>#N/A</v>
      </c>
      <c r="R8" s="3" t="e">
        <f>NA()</f>
        <v>#N/A</v>
      </c>
      <c r="S8" s="3" t="e">
        <f>NA()</f>
        <v>#N/A</v>
      </c>
      <c r="T8" s="3" t="e">
        <f>NA()</f>
        <v>#N/A</v>
      </c>
      <c r="V8" t="s">
        <v>223</v>
      </c>
    </row>
    <row r="9" spans="1:23">
      <c r="A9" s="8">
        <f>ROW(Вмешательства[[#This Row],[№]])-1</f>
        <v>8</v>
      </c>
      <c r="B9" s="2" t="s">
        <v>35</v>
      </c>
      <c r="C9" s="8" t="s">
        <v>86</v>
      </c>
      <c r="D9" s="5" t="s">
        <v>87</v>
      </c>
      <c r="F9" t="s">
        <v>128</v>
      </c>
      <c r="G9" s="3" t="s">
        <v>484</v>
      </c>
      <c r="H9" s="3" t="e">
        <f>NA()</f>
        <v>#N/A</v>
      </c>
      <c r="I9" s="3" t="e">
        <f>NA()</f>
        <v>#N/A</v>
      </c>
      <c r="J9" s="3" t="e">
        <f>NA()</f>
        <v>#N/A</v>
      </c>
      <c r="K9" s="3" t="e">
        <f>NA()</f>
        <v>#N/A</v>
      </c>
      <c r="L9" s="3" t="e">
        <f>NA()</f>
        <v>#N/A</v>
      </c>
      <c r="M9" s="3" t="e">
        <f>NA()</f>
        <v>#N/A</v>
      </c>
      <c r="N9" s="3" t="e">
        <f>NA()</f>
        <v>#N/A</v>
      </c>
      <c r="O9" s="3" t="e">
        <f>NA()</f>
        <v>#N/A</v>
      </c>
      <c r="P9" s="3" t="e">
        <f>NA()</f>
        <v>#N/A</v>
      </c>
      <c r="Q9" s="3" t="e">
        <f>NA()</f>
        <v>#N/A</v>
      </c>
      <c r="R9" s="3" t="e">
        <f>NA()</f>
        <v>#N/A</v>
      </c>
      <c r="S9" s="3" t="e">
        <f>NA()</f>
        <v>#N/A</v>
      </c>
      <c r="T9" s="3" t="e">
        <f>NA()</f>
        <v>#N/A</v>
      </c>
      <c r="V9" t="s">
        <v>209</v>
      </c>
    </row>
    <row r="10" spans="1:23">
      <c r="A10" s="8">
        <f>ROW(Вмешательства[[#This Row],[№]])-1</f>
        <v>9</v>
      </c>
      <c r="B10" s="2"/>
      <c r="C10" s="8" t="s">
        <v>230</v>
      </c>
      <c r="D10" s="5" t="s">
        <v>139</v>
      </c>
      <c r="G10" s="3"/>
      <c r="H10" s="11"/>
      <c r="I10" s="11"/>
      <c r="J10" s="3"/>
      <c r="K10" s="3"/>
      <c r="L10" s="3"/>
      <c r="M10" s="3"/>
      <c r="N10" s="11"/>
      <c r="O10" s="11"/>
      <c r="P10" s="11"/>
      <c r="Q10" s="11"/>
      <c r="R10" s="11"/>
      <c r="S10" s="11"/>
      <c r="T10" s="11"/>
      <c r="V10" t="s">
        <v>224</v>
      </c>
    </row>
    <row r="11" spans="1:23">
      <c r="A11" s="8">
        <f>ROW(Вмешательства[[#This Row],[№]])-1</f>
        <v>10</v>
      </c>
      <c r="B11" s="2" t="s">
        <v>25</v>
      </c>
      <c r="C11" s="8" t="s">
        <v>231</v>
      </c>
      <c r="D11" s="5" t="s">
        <v>26</v>
      </c>
      <c r="G11" s="3"/>
      <c r="H11" s="11"/>
      <c r="I11" s="11"/>
      <c r="J11" s="11"/>
      <c r="K11" s="11"/>
      <c r="L11" s="11"/>
      <c r="M11" s="11"/>
      <c r="N11" s="11"/>
      <c r="O11" s="11"/>
      <c r="P11" s="11"/>
      <c r="Q11" s="11"/>
      <c r="R11" s="11"/>
      <c r="S11" s="11"/>
      <c r="T11" s="11"/>
      <c r="V11" t="s">
        <v>216</v>
      </c>
      <c r="W11" s="11"/>
    </row>
    <row r="12" spans="1:23">
      <c r="A12" s="8">
        <f>ROW(Вмешательства[[#This Row],[№]])-1</f>
        <v>11</v>
      </c>
      <c r="B12" s="2" t="s">
        <v>19</v>
      </c>
      <c r="C12" s="8" t="s">
        <v>232</v>
      </c>
      <c r="D12" s="5" t="s">
        <v>20</v>
      </c>
      <c r="F12" t="s">
        <v>106</v>
      </c>
      <c r="G12" s="3" t="s">
        <v>485</v>
      </c>
      <c r="H12" s="3">
        <v>1</v>
      </c>
      <c r="I12" s="3">
        <v>2</v>
      </c>
      <c r="J12" s="3">
        <v>3</v>
      </c>
      <c r="K12" s="3">
        <v>4</v>
      </c>
      <c r="L12" s="3">
        <v>5</v>
      </c>
      <c r="M12" s="3">
        <v>6</v>
      </c>
      <c r="N12" s="3">
        <v>7</v>
      </c>
      <c r="O12" s="3">
        <v>8</v>
      </c>
      <c r="P12" s="3">
        <v>9</v>
      </c>
      <c r="Q12" s="3">
        <v>10</v>
      </c>
      <c r="R12" s="3">
        <v>11</v>
      </c>
      <c r="S12" s="3">
        <v>12</v>
      </c>
      <c r="T12" s="3">
        <v>13</v>
      </c>
      <c r="V12" t="s">
        <v>225</v>
      </c>
      <c r="W12" s="11"/>
    </row>
    <row r="13" spans="1:23">
      <c r="A13" s="8">
        <f>ROW(Вмешательства[[#This Row],[№]])-1</f>
        <v>12</v>
      </c>
      <c r="B13" s="2" t="s">
        <v>21</v>
      </c>
      <c r="C13" s="8" t="s">
        <v>233</v>
      </c>
      <c r="D13" s="5" t="s">
        <v>22</v>
      </c>
      <c r="F13" t="s">
        <v>483</v>
      </c>
      <c r="G13" s="3" t="s">
        <v>485</v>
      </c>
      <c r="H13" s="3">
        <v>47</v>
      </c>
      <c r="I13" s="3">
        <v>46</v>
      </c>
      <c r="J13" s="3">
        <v>45</v>
      </c>
      <c r="K13" s="3">
        <v>45</v>
      </c>
      <c r="L13" s="3">
        <v>45</v>
      </c>
      <c r="M13" s="3">
        <v>45</v>
      </c>
      <c r="N13" s="3">
        <v>45</v>
      </c>
      <c r="O13" s="3">
        <v>45</v>
      </c>
      <c r="P13" s="3">
        <v>45</v>
      </c>
      <c r="Q13" s="3">
        <v>45</v>
      </c>
      <c r="R13" s="3">
        <v>45</v>
      </c>
      <c r="S13" s="3">
        <v>45</v>
      </c>
      <c r="T13" s="3">
        <v>45</v>
      </c>
      <c r="V13" t="s">
        <v>226</v>
      </c>
      <c r="W13" s="11"/>
    </row>
    <row r="14" spans="1:23">
      <c r="A14" s="8">
        <f>ROW(Вмешательства[[#This Row],[№]])-1</f>
        <v>13</v>
      </c>
      <c r="B14" s="2" t="s">
        <v>23</v>
      </c>
      <c r="C14" s="8" t="s">
        <v>234</v>
      </c>
      <c r="D14" s="5" t="s">
        <v>24</v>
      </c>
      <c r="F14" t="s">
        <v>310</v>
      </c>
      <c r="G14" s="3" t="s">
        <v>485</v>
      </c>
      <c r="H14" s="3">
        <v>47</v>
      </c>
      <c r="I14" s="3">
        <v>46</v>
      </c>
      <c r="J14" s="3">
        <v>45</v>
      </c>
      <c r="K14" s="3">
        <v>45</v>
      </c>
      <c r="L14" s="3">
        <v>45</v>
      </c>
      <c r="M14" s="3">
        <v>45</v>
      </c>
      <c r="N14" s="3">
        <v>45</v>
      </c>
      <c r="O14" s="3">
        <v>45</v>
      </c>
      <c r="P14" s="3">
        <v>45</v>
      </c>
      <c r="Q14" s="3">
        <v>45</v>
      </c>
      <c r="R14" s="3">
        <v>45</v>
      </c>
      <c r="S14" s="3">
        <v>45</v>
      </c>
      <c r="T14" s="3">
        <v>45</v>
      </c>
      <c r="W14" s="11"/>
    </row>
    <row r="15" spans="1:23">
      <c r="A15" s="8">
        <f>ROW(Вмешательства[[#This Row],[№]])-1</f>
        <v>14</v>
      </c>
      <c r="B15" s="2" t="s">
        <v>27</v>
      </c>
      <c r="C15" s="8" t="s">
        <v>235</v>
      </c>
      <c r="D15" s="5" t="s">
        <v>28</v>
      </c>
      <c r="F15" t="s">
        <v>131</v>
      </c>
      <c r="G15" s="3" t="s">
        <v>485</v>
      </c>
      <c r="H15" s="3">
        <v>2633</v>
      </c>
      <c r="I15" s="3">
        <v>46</v>
      </c>
      <c r="J15" s="3">
        <v>45</v>
      </c>
      <c r="K15" s="3">
        <v>45</v>
      </c>
      <c r="L15" s="3">
        <v>45</v>
      </c>
      <c r="M15" s="3">
        <v>45</v>
      </c>
      <c r="N15" s="3">
        <v>45</v>
      </c>
      <c r="O15" s="3">
        <v>45</v>
      </c>
      <c r="P15" s="3">
        <v>45</v>
      </c>
      <c r="Q15" s="3">
        <v>45</v>
      </c>
      <c r="R15" s="3">
        <v>45</v>
      </c>
      <c r="S15" s="3">
        <v>45</v>
      </c>
      <c r="T15" s="3">
        <v>45</v>
      </c>
      <c r="V15" t="s">
        <v>393</v>
      </c>
      <c r="W15" s="11"/>
    </row>
    <row r="16" spans="1:23">
      <c r="A16" s="8">
        <f>ROW(Вмешательства[[#This Row],[№]])-1</f>
        <v>15</v>
      </c>
      <c r="B16" s="2" t="s">
        <v>29</v>
      </c>
      <c r="C16" s="8" t="s">
        <v>236</v>
      </c>
      <c r="D16" s="5" t="s">
        <v>30</v>
      </c>
      <c r="V16" t="s">
        <v>394</v>
      </c>
    </row>
    <row r="17" spans="1:23">
      <c r="A17" s="8">
        <f>ROW(Вмешательства[[#This Row],[№]])-1</f>
        <v>16</v>
      </c>
      <c r="B17" s="2" t="s">
        <v>31</v>
      </c>
      <c r="C17" s="8" t="s">
        <v>237</v>
      </c>
      <c r="D17" s="5" t="s">
        <v>32</v>
      </c>
      <c r="F17" t="s">
        <v>486</v>
      </c>
      <c r="V17" t="s">
        <v>395</v>
      </c>
    </row>
    <row r="18" spans="1:23">
      <c r="A18" s="8">
        <f>ROW(Вмешательства[[#This Row],[№]])-1</f>
        <v>17</v>
      </c>
      <c r="B18" s="2" t="s">
        <v>33</v>
      </c>
      <c r="C18" s="8" t="s">
        <v>238</v>
      </c>
      <c r="D18" s="5" t="s">
        <v>34</v>
      </c>
      <c r="F18" t="s">
        <v>215</v>
      </c>
    </row>
    <row r="19" spans="1:23" ht="30">
      <c r="A19" s="8">
        <f>ROW(Вмешательства[[#This Row],[№]])-1</f>
        <v>18</v>
      </c>
      <c r="B19" s="2" t="s">
        <v>40</v>
      </c>
      <c r="C19" s="8" t="s">
        <v>41</v>
      </c>
      <c r="D19" s="5" t="s">
        <v>42</v>
      </c>
      <c r="F19" t="s">
        <v>207</v>
      </c>
    </row>
    <row r="20" spans="1:23" ht="30">
      <c r="A20" s="8">
        <f>ROW(Вмешательства[[#This Row],[№]])-1</f>
        <v>19</v>
      </c>
      <c r="B20" s="2" t="s">
        <v>43</v>
      </c>
      <c r="C20" s="8" t="s">
        <v>44</v>
      </c>
      <c r="D20" s="5" t="s">
        <v>45</v>
      </c>
      <c r="F20" t="s">
        <v>304</v>
      </c>
      <c r="J20" s="11"/>
    </row>
    <row r="21" spans="1:23" ht="30">
      <c r="A21" s="8">
        <f>ROW(Вмешательства[[#This Row],[№]])-1</f>
        <v>20</v>
      </c>
      <c r="B21" s="2" t="s">
        <v>46</v>
      </c>
      <c r="C21" s="8" t="s">
        <v>47</v>
      </c>
      <c r="D21" s="5" t="s">
        <v>48</v>
      </c>
      <c r="F21" t="s">
        <v>335</v>
      </c>
      <c r="J21" s="11"/>
    </row>
    <row r="22" spans="1:23" ht="30">
      <c r="A22" s="8">
        <f>ROW(Вмешательства[[#This Row],[№]])-1</f>
        <v>21</v>
      </c>
      <c r="B22" s="2" t="s">
        <v>49</v>
      </c>
      <c r="C22" s="8" t="s">
        <v>50</v>
      </c>
      <c r="D22" s="5" t="s">
        <v>51</v>
      </c>
      <c r="F22" t="s">
        <v>336</v>
      </c>
      <c r="J22" s="11"/>
      <c r="U22" s="2"/>
    </row>
    <row r="23" spans="1:23" ht="30">
      <c r="A23" s="8">
        <f>ROW(Вмешательства[[#This Row],[№]])-1</f>
        <v>22</v>
      </c>
      <c r="B23" s="2" t="s">
        <v>52</v>
      </c>
      <c r="C23" s="8" t="s">
        <v>53</v>
      </c>
      <c r="D23" s="5" t="s">
        <v>54</v>
      </c>
      <c r="F23" t="s">
        <v>346</v>
      </c>
      <c r="J23" s="11"/>
      <c r="U23" s="2"/>
    </row>
    <row r="24" spans="1:23">
      <c r="A24" s="8">
        <f>ROW(Вмешательства[[#This Row],[№]])-1</f>
        <v>23</v>
      </c>
      <c r="B24" s="2" t="s">
        <v>55</v>
      </c>
      <c r="C24" s="8" t="s">
        <v>56</v>
      </c>
      <c r="D24" s="5" t="s">
        <v>57</v>
      </c>
      <c r="F24" t="s">
        <v>501</v>
      </c>
      <c r="H24" s="10"/>
      <c r="K24" s="2"/>
      <c r="U24" s="2"/>
      <c r="W24" s="11"/>
    </row>
    <row r="25" spans="1:23">
      <c r="A25" s="8">
        <f>ROW(Вмешательства[[#This Row],[№]])-1</f>
        <v>24</v>
      </c>
      <c r="B25" s="2" t="s">
        <v>58</v>
      </c>
      <c r="C25" s="8" t="s">
        <v>59</v>
      </c>
      <c r="D25" s="5" t="s">
        <v>60</v>
      </c>
      <c r="K25" s="2"/>
    </row>
    <row r="26" spans="1:23" ht="30">
      <c r="A26" s="8">
        <f>ROW(Вмешательства[[#This Row],[№]])-1</f>
        <v>25</v>
      </c>
      <c r="B26" s="2" t="s">
        <v>61</v>
      </c>
      <c r="C26" s="8" t="s">
        <v>62</v>
      </c>
      <c r="D26" s="5" t="s">
        <v>63</v>
      </c>
      <c r="H26" s="10"/>
      <c r="K26" s="3"/>
      <c r="W26" s="10"/>
    </row>
    <row r="27" spans="1:23" ht="45">
      <c r="A27" s="8">
        <f>ROW(Вмешательства[[#This Row],[№]])-1</f>
        <v>26</v>
      </c>
      <c r="B27" s="2" t="s">
        <v>64</v>
      </c>
      <c r="C27" s="8" t="s">
        <v>65</v>
      </c>
      <c r="D27" s="5" t="s">
        <v>66</v>
      </c>
      <c r="H27" s="10"/>
      <c r="W27" s="10"/>
    </row>
    <row r="28" spans="1:23">
      <c r="A28" s="8">
        <f>ROW(Вмешательства[[#This Row],[№]])-1</f>
        <v>27</v>
      </c>
      <c r="B28" s="2" t="s">
        <v>67</v>
      </c>
      <c r="C28" s="77" t="s">
        <v>244</v>
      </c>
      <c r="D28" s="5" t="s">
        <v>245</v>
      </c>
      <c r="H28" s="10"/>
      <c r="W28" s="10"/>
    </row>
    <row r="29" spans="1:23" ht="45">
      <c r="A29" s="8">
        <f>ROW(Вмешательства[[#This Row],[№]])-1</f>
        <v>28</v>
      </c>
      <c r="B29" s="2" t="s">
        <v>68</v>
      </c>
      <c r="C29" s="77" t="s">
        <v>69</v>
      </c>
      <c r="D29" s="5" t="s">
        <v>70</v>
      </c>
      <c r="H29" s="10"/>
      <c r="W29" s="10"/>
    </row>
    <row r="30" spans="1:23" ht="30">
      <c r="A30" s="8">
        <f>ROW(Вмешательства[[#This Row],[№]])-1</f>
        <v>29</v>
      </c>
      <c r="B30" s="2" t="s">
        <v>71</v>
      </c>
      <c r="C30" s="77" t="s">
        <v>72</v>
      </c>
      <c r="D30" s="5" t="s">
        <v>73</v>
      </c>
      <c r="H30" s="10"/>
      <c r="W30" s="10"/>
    </row>
    <row r="31" spans="1:23">
      <c r="A31" s="8">
        <f>ROW(Вмешательства[[#This Row],[№]])-1</f>
        <v>30</v>
      </c>
      <c r="B31" s="2" t="s">
        <v>74</v>
      </c>
      <c r="C31" s="77" t="s">
        <v>240</v>
      </c>
      <c r="D31" s="5" t="s">
        <v>75</v>
      </c>
      <c r="H31" s="10"/>
      <c r="W31" s="10"/>
    </row>
    <row r="32" spans="1:23">
      <c r="A32" s="8">
        <f>ROW(Вмешательства[[#This Row],[№]])-1</f>
        <v>31</v>
      </c>
      <c r="B32" s="2" t="s">
        <v>76</v>
      </c>
      <c r="C32" s="77" t="s">
        <v>239</v>
      </c>
      <c r="D32" s="5" t="s">
        <v>77</v>
      </c>
      <c r="H32" s="10"/>
      <c r="W32" s="10"/>
    </row>
    <row r="33" spans="1:23">
      <c r="A33" s="8">
        <f>ROW(Вмешательства[[#This Row],[№]])-1</f>
        <v>32</v>
      </c>
      <c r="B33" s="2" t="s">
        <v>78</v>
      </c>
      <c r="C33" s="77" t="s">
        <v>241</v>
      </c>
      <c r="D33" s="5" t="s">
        <v>79</v>
      </c>
      <c r="H33" s="10"/>
      <c r="I33" s="10"/>
      <c r="W33" s="10"/>
    </row>
    <row r="34" spans="1:23">
      <c r="A34" s="8">
        <f>ROW(Вмешательства[[#This Row],[№]])-1</f>
        <v>33</v>
      </c>
      <c r="B34" s="2" t="s">
        <v>81</v>
      </c>
      <c r="C34" s="77" t="s">
        <v>82</v>
      </c>
      <c r="D34" s="5" t="s">
        <v>242</v>
      </c>
      <c r="H34" s="10"/>
      <c r="W34" s="10"/>
    </row>
    <row r="35" spans="1:23">
      <c r="A35" s="8">
        <f>ROW(Вмешательства[[#This Row],[№]])-1</f>
        <v>34</v>
      </c>
      <c r="B35" s="2" t="s">
        <v>83</v>
      </c>
      <c r="C35" s="77" t="s">
        <v>84</v>
      </c>
      <c r="D35" s="5" t="s">
        <v>243</v>
      </c>
      <c r="H35" s="10"/>
      <c r="W35" s="10"/>
    </row>
    <row r="36" spans="1:23" ht="34.15" customHeight="1">
      <c r="A36" s="8">
        <f>ROW(Вмешательства[[#This Row],[№]])-1</f>
        <v>35</v>
      </c>
      <c r="B36" s="2"/>
      <c r="C36" s="77" t="s">
        <v>246</v>
      </c>
      <c r="D36" s="5" t="s">
        <v>88</v>
      </c>
      <c r="F36" s="10"/>
      <c r="H36" s="10"/>
      <c r="W36" s="10"/>
    </row>
    <row r="37" spans="1:23">
      <c r="A37" s="8"/>
      <c r="B37" s="2"/>
      <c r="C37" s="8"/>
      <c r="D37" s="5"/>
      <c r="G37" s="10"/>
      <c r="H37" s="10"/>
    </row>
    <row r="38" spans="1:23">
      <c r="A38" s="8"/>
      <c r="B38" s="2"/>
      <c r="C38" s="8"/>
      <c r="D38" s="5"/>
    </row>
  </sheetData>
  <sheetProtection sheet="1" objects="1" scenarios="1" formatCells="0" formatColumns="0"/>
  <phoneticPr fontId="14" type="noConversion"/>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P97"/>
  <sheetViews>
    <sheetView topLeftCell="A86" zoomScaleNormal="100" workbookViewId="0">
      <selection activeCell="AM9" sqref="AM9"/>
    </sheetView>
  </sheetViews>
  <sheetFormatPr defaultRowHeight="15" outlineLevelCol="2"/>
  <cols>
    <col min="1" max="1" width="3.140625" bestFit="1" customWidth="1"/>
    <col min="2" max="2" width="34.42578125" bestFit="1" customWidth="1"/>
    <col min="3" max="3" width="38" bestFit="1" customWidth="1"/>
    <col min="4" max="4" width="9.85546875" customWidth="1"/>
    <col min="5" max="10" width="4.42578125" style="114" customWidth="1" outlineLevel="1"/>
    <col min="11" max="17" width="4.42578125" style="115" customWidth="1" outlineLevel="1"/>
    <col min="18" max="30" width="4.42578125" style="114" customWidth="1" outlineLevel="1"/>
    <col min="31" max="31" width="8.85546875"/>
    <col min="32" max="32" width="18.7109375" hidden="1" customWidth="1" outlineLevel="2"/>
    <col min="33" max="33" width="9.28515625" hidden="1" customWidth="1" outlineLevel="2"/>
    <col min="34" max="34" width="9.140625" hidden="1" customWidth="1" outlineLevel="2"/>
    <col min="35" max="35" width="31" hidden="1" customWidth="1" outlineLevel="2"/>
    <col min="36" max="36" width="14.5703125" hidden="1" customWidth="1" outlineLevel="2"/>
    <col min="37" max="37" width="23.5703125" hidden="1" customWidth="1" outlineLevel="2"/>
    <col min="38" max="38" width="5" customWidth="1" collapsed="1"/>
    <col min="39" max="39" width="12.85546875" bestFit="1" customWidth="1"/>
    <col min="40" max="40" width="13.7109375" bestFit="1" customWidth="1"/>
    <col min="41" max="41" width="114.140625" bestFit="1" customWidth="1"/>
  </cols>
  <sheetData>
    <row r="1" spans="1:42">
      <c r="A1" t="s">
        <v>2</v>
      </c>
      <c r="B1" t="s">
        <v>1</v>
      </c>
      <c r="C1" t="s">
        <v>0</v>
      </c>
      <c r="E1" s="114" t="s">
        <v>101</v>
      </c>
      <c r="F1" s="114" t="s">
        <v>102</v>
      </c>
      <c r="G1" s="114" t="s">
        <v>279</v>
      </c>
      <c r="H1" s="114" t="s">
        <v>280</v>
      </c>
      <c r="I1" s="114" t="s">
        <v>281</v>
      </c>
      <c r="J1" s="114" t="s">
        <v>282</v>
      </c>
      <c r="K1" s="115" t="s">
        <v>283</v>
      </c>
      <c r="L1" s="115" t="s">
        <v>284</v>
      </c>
      <c r="M1" s="115" t="s">
        <v>285</v>
      </c>
      <c r="N1" s="115" t="s">
        <v>286</v>
      </c>
      <c r="O1" s="115" t="s">
        <v>287</v>
      </c>
      <c r="P1" s="115" t="s">
        <v>288</v>
      </c>
      <c r="Q1" s="115" t="s">
        <v>289</v>
      </c>
      <c r="R1" s="114" t="s">
        <v>103</v>
      </c>
      <c r="S1" s="114" t="s">
        <v>104</v>
      </c>
      <c r="T1" s="114" t="s">
        <v>290</v>
      </c>
      <c r="U1" s="114" t="s">
        <v>291</v>
      </c>
      <c r="V1" s="114" t="s">
        <v>292</v>
      </c>
      <c r="W1" s="114" t="s">
        <v>293</v>
      </c>
      <c r="X1" s="114" t="s">
        <v>294</v>
      </c>
      <c r="Y1" s="114" t="s">
        <v>295</v>
      </c>
      <c r="Z1" s="114" t="s">
        <v>296</v>
      </c>
      <c r="AA1" s="114" t="s">
        <v>297</v>
      </c>
      <c r="AB1" s="114" t="s">
        <v>298</v>
      </c>
      <c r="AC1" s="114" t="s">
        <v>299</v>
      </c>
      <c r="AD1" s="114" t="s">
        <v>300</v>
      </c>
      <c r="AF1" s="2" t="s">
        <v>129</v>
      </c>
      <c r="AG1" s="2" t="s">
        <v>130</v>
      </c>
      <c r="AI1" t="s">
        <v>196</v>
      </c>
      <c r="AJ1" t="s">
        <v>197</v>
      </c>
      <c r="AK1" t="s">
        <v>198</v>
      </c>
      <c r="AM1" t="s">
        <v>498</v>
      </c>
      <c r="AN1" s="2" t="s">
        <v>492</v>
      </c>
      <c r="AO1" t="s">
        <v>355</v>
      </c>
      <c r="AP1" s="158"/>
    </row>
    <row r="2" spans="1:42">
      <c r="A2">
        <f>ROW(Расходка[[#This Row],[Тип расходного материала ]])-1</f>
        <v>1</v>
      </c>
      <c r="B2" t="s">
        <v>94</v>
      </c>
      <c r="C2" s="1" t="s">
        <v>309</v>
      </c>
      <c r="D2" s="1"/>
      <c r="E2" s="115">
        <f>IF(ISNUMBER(SEARCH('Карта учёта'!$B$13,Расходка[[#This Row],[Наименование расходного материала]])),MAX($E$1:E1)+1,0)</f>
        <v>0</v>
      </c>
      <c r="F2" s="115">
        <f>IF(ISNUMBER(SEARCH('Карта учёта'!$B$14,Расходка[[#This Row],[Наименование расходного материала]])),MAX($F$1:F1)+1,0)</f>
        <v>0</v>
      </c>
      <c r="G2" s="115">
        <f>IF(ISNUMBER(SEARCH('Карта учёта'!$B$15,Расходка[[#This Row],[Наименование расходного материала]])),MAX($G$1:G1)+1,0)</f>
        <v>1</v>
      </c>
      <c r="H2" s="115">
        <f>IF(ISNUMBER(SEARCH('Карта учёта'!$B$16,Расходка[[#This Row],[Наименование расходного материала]])),MAX($H$1:H1)+1,0)</f>
        <v>1</v>
      </c>
      <c r="I2" s="115">
        <f>IF(ISNUMBER(SEARCH('Карта учёта'!$B$17,Расходка[[#This Row],[Наименование расходного материала]])),MAX($I$1:I1)+1,0)</f>
        <v>1</v>
      </c>
      <c r="J2" s="115">
        <f>IF(ISNUMBER(SEARCH('Карта учёта'!$B$18,Расходка[[#This Row],[Наименование расходного материала]])),MAX($J$1:J1)+1,0)</f>
        <v>1</v>
      </c>
      <c r="K2" s="115">
        <f>IF(ISNUMBER(SEARCH('Карта учёта'!$B$19,Расходка[[#This Row],[Наименование расходного материала]])),MAX($K$1:K1)+1,0)</f>
        <v>1</v>
      </c>
      <c r="L2" s="115">
        <f>IF(ISNUMBER(SEARCH('Карта учёта'!$B$20,Расходка[[#This Row],[Наименование расходного материала]])),MAX($L$1:L1)+1,0)</f>
        <v>1</v>
      </c>
      <c r="M2" s="115">
        <f>IF(ISNUMBER(SEARCH('Карта учёта'!$B$21,Расходка[[#This Row],[Наименование расходного материала]])),MAX($M$1:M1)+1,0)</f>
        <v>1</v>
      </c>
      <c r="N2" s="2">
        <f>IF(ISNUMBER(SEARCH('Карта учёта'!$B$22,Расходка[[#This Row],[Наименование расходного материала]])),MAX($N$1:N1)+1,0)</f>
        <v>1</v>
      </c>
      <c r="O2" s="115">
        <f>IF(ISNUMBER(SEARCH('Карта учёта'!$B$23,Расходка[[#This Row],[Наименование расходного материала]])),MAX($O$1:O1)+1,0)</f>
        <v>1</v>
      </c>
      <c r="P2" s="115">
        <f>IF(ISNUMBER(SEARCH('Карта учёта'!$B$24,Расходка[[#This Row],[Наименование расходного материала]])),MAX($P$1:P1)+1,0)</f>
        <v>1</v>
      </c>
      <c r="Q2" s="115">
        <f>IF(ISNUMBER(SEARCH('Карта учёта'!$B$25,Расходка[[#This Row],[Наименование расходного материала]])),MAX($Q$1:Q1)+1,0)</f>
        <v>1</v>
      </c>
      <c r="R2" s="114" t="str">
        <f>IFERROR(INDEX(Расходка[Наименование расходного материала],MATCH(Расходка[[#This Row],[№]],Поиск_расходки[Индекс1],0)),"")</f>
        <v>Launcher 6F EBU 4.0</v>
      </c>
      <c r="S2" s="114" t="str">
        <f>IFERROR(INDEX(Расходка[Наименование расходного материала],MATCH(Расходка[[#This Row],[№]],Поиск_расходки[Индекс2],0)),"")</f>
        <v>Shunmei 0,7</v>
      </c>
      <c r="T2" s="114" t="str">
        <f>IFERROR(INDEX(Расходка[Наименование расходного материала],MATCH(Расходка[[#This Row],[№]],Поиск_расходки[Индекс3],0)),"")</f>
        <v>Hunter® 6F</v>
      </c>
      <c r="U2" s="114" t="str">
        <f>IFERROR(INDEX(Расходка[Наименование расходного материала],MATCH(Расходка[[#This Row],[№]],Поиск_расходки[Индекс4],0)),"")</f>
        <v>Hunter® 6F</v>
      </c>
      <c r="V2" s="114" t="str">
        <f>IFERROR(INDEX(Расходка[Наименование расходного материала],MATCH(Расходка[[#This Row],[№]],Поиск_расходки[Индекс5],0)),"")</f>
        <v>Hunter® 6F</v>
      </c>
      <c r="W2" s="114" t="str">
        <f>IFERROR(INDEX(Расходка[Наименование расходного материала],MATCH(Расходка[[#This Row],[№]],Поиск_расходки[Индекс6],0)),"")</f>
        <v>Hunter® 6F</v>
      </c>
      <c r="X2" s="114" t="str">
        <f>IFERROR(INDEX(Расходка[Наименование расходного материала],MATCH(Расходка[[#This Row],[№]],Поиск_расходки[Индекс7],0)),"")</f>
        <v>Hunter® 6F</v>
      </c>
      <c r="Y2" s="114" t="str">
        <f>IFERROR(INDEX(Расходка[Наименование расходного материала],MATCH(Расходка[[#This Row],[№]],Поиск_расходки[Индекс8],0)),"")</f>
        <v>Hunter® 6F</v>
      </c>
      <c r="Z2" s="114" t="str">
        <f>IFERROR(INDEX(Расходка[Наименование расходного материала],MATCH(Расходка[[#This Row],[№]],Поиск_расходки[Индекс9],0)),"")</f>
        <v>Hunter® 6F</v>
      </c>
      <c r="AA2" s="114" t="str">
        <f>IFERROR(INDEX(Расходка[Наименование расходного материала],MATCH(Расходка[[#This Row],[№]],Поиск_расходки[Индекс10],0)),"")</f>
        <v>Hunter® 6F</v>
      </c>
      <c r="AB2" s="114" t="str">
        <f>IFERROR(INDEX(Расходка[Наименование расходного материала],MATCH(Расходка[[#This Row],[№]],Поиск_расходки[Индекс11],0)),"")</f>
        <v>Hunter® 6F</v>
      </c>
      <c r="AC2" s="114" t="str">
        <f>IFERROR(INDEX(Расходка[Наименование расходного материала],MATCH(Расходка[[#This Row],[№]],Поиск_расходки[Индекс12],0)),"")</f>
        <v>Hunter® 6F</v>
      </c>
      <c r="AD2" s="114" t="str">
        <f>IFERROR(INDEX(Расходка[Наименование расходного материала],MATCH(Расходка[[#This Row],[№]],Поиск_расходки[Индекс13],0)),"")</f>
        <v>Hunter® 6F</v>
      </c>
      <c r="AF2" s="4" t="s">
        <v>5</v>
      </c>
      <c r="AG2" s="4" t="s">
        <v>400</v>
      </c>
      <c r="AI2" t="s">
        <v>190</v>
      </c>
      <c r="AJ2" t="s">
        <v>199</v>
      </c>
      <c r="AK2" t="str">
        <f>CONCATENATE(AI2,AJ2)</f>
        <v xml:space="preserve">Контраст: Ультравист 370 </v>
      </c>
      <c r="AM2" s="206">
        <v>155800</v>
      </c>
      <c r="AN2" s="207" t="s">
        <v>308</v>
      </c>
      <c r="AO2" s="208" t="s">
        <v>494</v>
      </c>
      <c r="AP2" s="127"/>
    </row>
    <row r="3" spans="1:42">
      <c r="A3">
        <f>ROW(Расходка[[#This Row],[Тип расходного материала ]])-1</f>
        <v>2</v>
      </c>
      <c r="B3" t="s">
        <v>94</v>
      </c>
      <c r="C3" t="s">
        <v>368</v>
      </c>
      <c r="E3" s="115">
        <f>IF(ISNUMBER(SEARCH('Карта учёта'!$B$13,Расходка[[#This Row],[Наименование расходного материала]])),MAX($E$1:E2)+1,0)</f>
        <v>0</v>
      </c>
      <c r="F3" s="115">
        <f>IF(ISNUMBER(SEARCH('Карта учёта'!$B$14,Расходка[[#This Row],[Наименование расходного материала]])),MAX($F$1:F2)+1,0)</f>
        <v>0</v>
      </c>
      <c r="G3" s="115">
        <f>IF(ISNUMBER(SEARCH('Карта учёта'!$B$15,Расходка[[#This Row],[Наименование расходного материала]])),MAX($G$1:G2)+1,0)</f>
        <v>2</v>
      </c>
      <c r="H3" s="115">
        <f>IF(ISNUMBER(SEARCH('Карта учёта'!$B$16,Расходка[[#This Row],[Наименование расходного материала]])),MAX($H$1:H2)+1,0)</f>
        <v>2</v>
      </c>
      <c r="I3" s="115">
        <f>IF(ISNUMBER(SEARCH('Карта учёта'!$B$17,Расходка[[#This Row],[Наименование расходного материала]])),MAX($I$1:I2)+1,0)</f>
        <v>2</v>
      </c>
      <c r="J3" s="115">
        <f>IF(ISNUMBER(SEARCH('Карта учёта'!$B$18,Расходка[[#This Row],[Наименование расходного материала]])),MAX($J$1:J2)+1,0)</f>
        <v>2</v>
      </c>
      <c r="K3" s="115">
        <f>IF(ISNUMBER(SEARCH('Карта учёта'!$B$19,Расходка[[#This Row],[Наименование расходного материала]])),MAX($K$1:K2)+1,0)</f>
        <v>2</v>
      </c>
      <c r="L3" s="115">
        <f>IF(ISNUMBER(SEARCH('Карта учёта'!$B$20,Расходка[[#This Row],[Наименование расходного материала]])),MAX($L$1:L2)+1,0)</f>
        <v>2</v>
      </c>
      <c r="M3" s="115">
        <f>IF(ISNUMBER(SEARCH('Карта учёта'!$B$21,Расходка[[#This Row],[Наименование расходного материала]])),MAX($M$1:M2)+1,0)</f>
        <v>2</v>
      </c>
      <c r="N3" s="115">
        <f>IF(ISNUMBER(SEARCH('Карта учёта'!$B$22,Расходка[[#This Row],[Наименование расходного материала]])),MAX($N$1:N2)+1,0)</f>
        <v>2</v>
      </c>
      <c r="O3" s="115">
        <f>IF(ISNUMBER(SEARCH('Карта учёта'!$B$23,Расходка[[#This Row],[Наименование расходного материала]])),MAX($O$1:O2)+1,0)</f>
        <v>2</v>
      </c>
      <c r="P3" s="115">
        <f>IF(ISNUMBER(SEARCH('Карта учёта'!$B$24,Расходка[[#This Row],[Наименование расходного материала]])),MAX($P$1:P2)+1,0)</f>
        <v>2</v>
      </c>
      <c r="Q3" s="115">
        <f>IF(ISNUMBER(SEARCH('Карта учёта'!$B$25,Расходка[[#This Row],[Наименование расходного материала]])),MAX($Q$1:Q2)+1,0)</f>
        <v>2</v>
      </c>
      <c r="R3" s="114" t="str">
        <f>IFERROR(INDEX(Расходка[Наименование расходного материала],MATCH(Расходка[[#This Row],[№]],Поиск_расходки[Индекс1],0)),"")</f>
        <v/>
      </c>
      <c r="S3" s="114" t="str">
        <f>IFERROR(INDEX(Расходка[Наименование расходного материала],MATCH(Расходка[[#This Row],[№]],Поиск_расходки[Индекс2],0)),"")</f>
        <v/>
      </c>
      <c r="T3" s="114" t="str">
        <f>IFERROR(INDEX(Расходка[Наименование расходного материала],MATCH(Расходка[[#This Row],[№]],Поиск_расходки[Индекс3],0)),"")</f>
        <v xml:space="preserve">Medtronic Export Advance </v>
      </c>
      <c r="U3" s="114" t="str">
        <f>IFERROR(INDEX(Расходка[Наименование расходного материала],MATCH(Расходка[[#This Row],[№]],Поиск_расходки[Индекс4],0)),"")</f>
        <v xml:space="preserve">Medtronic Export Advance </v>
      </c>
      <c r="V3" s="114" t="str">
        <f>IFERROR(INDEX(Расходка[Наименование расходного материала],MATCH(Расходка[[#This Row],[№]],Поиск_расходки[Индекс5],0)),"")</f>
        <v xml:space="preserve">Medtronic Export Advance </v>
      </c>
      <c r="W3" s="114" t="str">
        <f>IFERROR(INDEX(Расходка[Наименование расходного материала],MATCH(Расходка[[#This Row],[№]],Поиск_расходки[Индекс6],0)),"")</f>
        <v xml:space="preserve">Medtronic Export Advance </v>
      </c>
      <c r="X3" s="114" t="str">
        <f>IFERROR(INDEX(Расходка[Наименование расходного материала],MATCH(Расходка[[#This Row],[№]],Поиск_расходки[Индекс7],0)),"")</f>
        <v xml:space="preserve">Medtronic Export Advance </v>
      </c>
      <c r="Y3" s="114" t="str">
        <f>IFERROR(INDEX(Расходка[Наименование расходного материала],MATCH(Расходка[[#This Row],[№]],Поиск_расходки[Индекс8],0)),"")</f>
        <v xml:space="preserve">Medtronic Export Advance </v>
      </c>
      <c r="Z3" s="114" t="str">
        <f>IFERROR(INDEX(Расходка[Наименование расходного материала],MATCH(Расходка[[#This Row],[№]],Поиск_расходки[Индекс9],0)),"")</f>
        <v xml:space="preserve">Medtronic Export Advance </v>
      </c>
      <c r="AA3" s="114" t="str">
        <f>IFERROR(INDEX(Расходка[Наименование расходного материала],MATCH(Расходка[[#This Row],[№]],Поиск_расходки[Индекс10],0)),"")</f>
        <v xml:space="preserve">Medtronic Export Advance </v>
      </c>
      <c r="AB3" s="114" t="str">
        <f>IFERROR(INDEX(Расходка[Наименование расходного материала],MATCH(Расходка[[#This Row],[№]],Поиск_расходки[Индекс11],0)),"")</f>
        <v xml:space="preserve">Medtronic Export Advance </v>
      </c>
      <c r="AC3" s="114" t="str">
        <f>IFERROR(INDEX(Расходка[Наименование расходного материала],MATCH(Расходка[[#This Row],[№]],Поиск_расходки[Индекс12],0)),"")</f>
        <v xml:space="preserve">Medtronic Export Advance </v>
      </c>
      <c r="AD3" s="114" t="str">
        <f>IFERROR(INDEX(Расходка[Наименование расходного материала],MATCH(Расходка[[#This Row],[№]],Поиск_расходки[Индекс13],0)),"")</f>
        <v xml:space="preserve">Medtronic Export Advance </v>
      </c>
      <c r="AF3" s="4" t="s">
        <v>5</v>
      </c>
      <c r="AG3" s="4" t="s">
        <v>401</v>
      </c>
      <c r="AI3" t="s">
        <v>190</v>
      </c>
      <c r="AJ3" t="s">
        <v>200</v>
      </c>
      <c r="AK3" t="str">
        <f t="shared" ref="AK3:AK6" si="0">CONCATENATE(AI3,AJ3)</f>
        <v>Контраст: Омнипак 350</v>
      </c>
      <c r="AM3" s="188">
        <v>218190</v>
      </c>
      <c r="AN3" s="2" t="s">
        <v>487</v>
      </c>
      <c r="AO3" t="s">
        <v>495</v>
      </c>
      <c r="AP3" s="128"/>
    </row>
    <row r="4" spans="1:42">
      <c r="A4">
        <f>ROW(Расходка[[#This Row],[Тип расходного материала ]])-1</f>
        <v>3</v>
      </c>
      <c r="B4" t="s">
        <v>5</v>
      </c>
      <c r="C4" s="1" t="s">
        <v>277</v>
      </c>
      <c r="E4" s="115">
        <f>IF(ISNUMBER(SEARCH('Карта учёта'!$B$13,Расходка[[#This Row],[Наименование расходного материала]])),MAX($E$1:E3)+1,0)</f>
        <v>0</v>
      </c>
      <c r="F4" s="115">
        <f>IF(ISNUMBER(SEARCH('Карта учёта'!$B$14,Расходка[[#This Row],[Наименование расходного материала]])),MAX($F$1:F3)+1,0)</f>
        <v>0</v>
      </c>
      <c r="G4" s="115">
        <f>IF(ISNUMBER(SEARCH('Карта учёта'!$B$15,Расходка[[#This Row],[Наименование расходного материала]])),MAX($G$1:G3)+1,0)</f>
        <v>3</v>
      </c>
      <c r="H4" s="115">
        <f>IF(ISNUMBER(SEARCH('Карта учёта'!$B$16,Расходка[[#This Row],[Наименование расходного материала]])),MAX($H$1:H3)+1,0)</f>
        <v>3</v>
      </c>
      <c r="I4" s="115">
        <f>IF(ISNUMBER(SEARCH('Карта учёта'!$B$17,Расходка[[#This Row],[Наименование расходного материала]])),MAX($I$1:I3)+1,0)</f>
        <v>3</v>
      </c>
      <c r="J4" s="115">
        <f>IF(ISNUMBER(SEARCH('Карта учёта'!$B$18,Расходка[[#This Row],[Наименование расходного материала]])),MAX($J$1:J3)+1,0)</f>
        <v>3</v>
      </c>
      <c r="K4" s="115">
        <f>IF(ISNUMBER(SEARCH('Карта учёта'!$B$19,Расходка[[#This Row],[Наименование расходного материала]])),MAX($K$1:K3)+1,0)</f>
        <v>3</v>
      </c>
      <c r="L4" s="115">
        <f>IF(ISNUMBER(SEARCH('Карта учёта'!$B$20,Расходка[[#This Row],[Наименование расходного материала]])),MAX($L$1:L3)+1,0)</f>
        <v>3</v>
      </c>
      <c r="M4" s="115">
        <f>IF(ISNUMBER(SEARCH('Карта учёта'!$B$21,Расходка[[#This Row],[Наименование расходного материала]])),MAX($M$1:M3)+1,0)</f>
        <v>3</v>
      </c>
      <c r="N4" s="115">
        <f>IF(ISNUMBER(SEARCH('Карта учёта'!$B$22,Расходка[[#This Row],[Наименование расходного материала]])),MAX($N$1:N3)+1,0)</f>
        <v>3</v>
      </c>
      <c r="O4" s="115">
        <f>IF(ISNUMBER(SEARCH('Карта учёта'!$B$23,Расходка[[#This Row],[Наименование расходного материала]])),MAX($O$1:O3)+1,0)</f>
        <v>3</v>
      </c>
      <c r="P4" s="115">
        <f>IF(ISNUMBER(SEARCH('Карта учёта'!$B$24,Расходка[[#This Row],[Наименование расходного материала]])),MAX($P$1:P3)+1,0)</f>
        <v>3</v>
      </c>
      <c r="Q4" s="115">
        <f>IF(ISNUMBER(SEARCH('Карта учёта'!$B$25,Расходка[[#This Row],[Наименование расходного материала]])),MAX($Q$1:Q3)+1,0)</f>
        <v>3</v>
      </c>
      <c r="R4" s="114" t="str">
        <f>IFERROR(INDEX(Расходка[Наименование расходного материала],MATCH(Расходка[[#This Row],[№]],Поиск_расходки[Индекс1],0)),"")</f>
        <v/>
      </c>
      <c r="S4" s="114" t="str">
        <f>IFERROR(INDEX(Расходка[Наименование расходного материала],MATCH(Расходка[[#This Row],[№]],Поиск_расходки[Индекс2],0)),"")</f>
        <v/>
      </c>
      <c r="T4" s="114" t="str">
        <f>IFERROR(INDEX(Расходка[Наименование расходного материала],MATCH(Расходка[[#This Row],[№]],Поиск_расходки[Индекс3],0)),"")</f>
        <v>Euphora</v>
      </c>
      <c r="U4" s="114" t="str">
        <f>IFERROR(INDEX(Расходка[Наименование расходного материала],MATCH(Расходка[[#This Row],[№]],Поиск_расходки[Индекс4],0)),"")</f>
        <v>Euphora</v>
      </c>
      <c r="V4" s="114" t="str">
        <f>IFERROR(INDEX(Расходка[Наименование расходного материала],MATCH(Расходка[[#This Row],[№]],Поиск_расходки[Индекс5],0)),"")</f>
        <v>Euphora</v>
      </c>
      <c r="W4" s="114" t="str">
        <f>IFERROR(INDEX(Расходка[Наименование расходного материала],MATCH(Расходка[[#This Row],[№]],Поиск_расходки[Индекс6],0)),"")</f>
        <v>Euphora</v>
      </c>
      <c r="X4" s="114" t="str">
        <f>IFERROR(INDEX(Расходка[Наименование расходного материала],MATCH(Расходка[[#This Row],[№]],Поиск_расходки[Индекс7],0)),"")</f>
        <v>Euphora</v>
      </c>
      <c r="Y4" s="114" t="str">
        <f>IFERROR(INDEX(Расходка[Наименование расходного материала],MATCH(Расходка[[#This Row],[№]],Поиск_расходки[Индекс8],0)),"")</f>
        <v>Euphora</v>
      </c>
      <c r="Z4" s="114" t="str">
        <f>IFERROR(INDEX(Расходка[Наименование расходного материала],MATCH(Расходка[[#This Row],[№]],Поиск_расходки[Индекс9],0)),"")</f>
        <v>Euphora</v>
      </c>
      <c r="AA4" s="114" t="str">
        <f>IFERROR(INDEX(Расходка[Наименование расходного материала],MATCH(Расходка[[#This Row],[№]],Поиск_расходки[Индекс10],0)),"")</f>
        <v>Euphora</v>
      </c>
      <c r="AB4" s="114" t="str">
        <f>IFERROR(INDEX(Расходка[Наименование расходного материала],MATCH(Расходка[[#This Row],[№]],Поиск_расходки[Индекс11],0)),"")</f>
        <v>Euphora</v>
      </c>
      <c r="AC4" s="114" t="str">
        <f>IFERROR(INDEX(Расходка[Наименование расходного материала],MATCH(Расходка[[#This Row],[№]],Поиск_расходки[Индекс12],0)),"")</f>
        <v>Euphora</v>
      </c>
      <c r="AD4" s="114" t="str">
        <f>IFERROR(INDEX(Расходка[Наименование расходного материала],MATCH(Расходка[[#This Row],[№]],Поиск_расходки[Индекс13],0)),"")</f>
        <v>Euphora</v>
      </c>
      <c r="AF4" s="4" t="s">
        <v>5</v>
      </c>
      <c r="AG4" s="4" t="s">
        <v>402</v>
      </c>
      <c r="AI4" t="s">
        <v>190</v>
      </c>
      <c r="AJ4" t="s">
        <v>201</v>
      </c>
      <c r="AK4" t="str">
        <f t="shared" si="0"/>
        <v>Контраст: Оптирей 350</v>
      </c>
      <c r="AM4" s="188">
        <v>337440</v>
      </c>
      <c r="AN4" s="2" t="s">
        <v>500</v>
      </c>
      <c r="AO4" t="s">
        <v>497</v>
      </c>
      <c r="AP4" s="128"/>
    </row>
    <row r="5" spans="1:42">
      <c r="A5">
        <f>ROW(Расходка[[#This Row],[Тип расходного материала ]])-1</f>
        <v>4</v>
      </c>
      <c r="B5" t="s">
        <v>5</v>
      </c>
      <c r="C5" t="s">
        <v>311</v>
      </c>
      <c r="E5" s="115">
        <f>IF(ISNUMBER(SEARCH('Карта учёта'!$B$13,Расходка[[#This Row],[Наименование расходного материала]])),MAX($E$1:E4)+1,0)</f>
        <v>0</v>
      </c>
      <c r="F5" s="115">
        <f>IF(ISNUMBER(SEARCH('Карта учёта'!$B$14,Расходка[[#This Row],[Наименование расходного материала]])),MAX($F$1:F4)+1,0)</f>
        <v>0</v>
      </c>
      <c r="G5" s="115">
        <f>IF(ISNUMBER(SEARCH('Карта учёта'!$B$15,Расходка[[#This Row],[Наименование расходного материала]])),MAX($G$1:G4)+1,0)</f>
        <v>4</v>
      </c>
      <c r="H5" s="115">
        <f>IF(ISNUMBER(SEARCH('Карта учёта'!$B$16,Расходка[[#This Row],[Наименование расходного материала]])),MAX($H$1:H4)+1,0)</f>
        <v>4</v>
      </c>
      <c r="I5" s="115">
        <f>IF(ISNUMBER(SEARCH('Карта учёта'!$B$17,Расходка[[#This Row],[Наименование расходного материала]])),MAX($I$1:I4)+1,0)</f>
        <v>4</v>
      </c>
      <c r="J5" s="115">
        <f>IF(ISNUMBER(SEARCH('Карта учёта'!$B$18,Расходка[[#This Row],[Наименование расходного материала]])),MAX($J$1:J4)+1,0)</f>
        <v>4</v>
      </c>
      <c r="K5" s="115">
        <f>IF(ISNUMBER(SEARCH('Карта учёта'!$B$19,Расходка[[#This Row],[Наименование расходного материала]])),MAX($K$1:K4)+1,0)</f>
        <v>4</v>
      </c>
      <c r="L5" s="115">
        <f>IF(ISNUMBER(SEARCH('Карта учёта'!$B$20,Расходка[[#This Row],[Наименование расходного материала]])),MAX($L$1:L4)+1,0)</f>
        <v>4</v>
      </c>
      <c r="M5" s="115">
        <f>IF(ISNUMBER(SEARCH('Карта учёта'!$B$21,Расходка[[#This Row],[Наименование расходного материала]])),MAX($M$1:M4)+1,0)</f>
        <v>4</v>
      </c>
      <c r="N5" s="115">
        <f>IF(ISNUMBER(SEARCH('Карта учёта'!$B$22,Расходка[[#This Row],[Наименование расходного материала]])),MAX($N$1:N4)+1,0)</f>
        <v>4</v>
      </c>
      <c r="O5" s="115">
        <f>IF(ISNUMBER(SEARCH('Карта учёта'!$B$23,Расходка[[#This Row],[Наименование расходного материала]])),MAX($O$1:O4)+1,0)</f>
        <v>4</v>
      </c>
      <c r="P5" s="115">
        <f>IF(ISNUMBER(SEARCH('Карта учёта'!$B$24,Расходка[[#This Row],[Наименование расходного материала]])),MAX($P$1:P4)+1,0)</f>
        <v>4</v>
      </c>
      <c r="Q5" s="115">
        <f>IF(ISNUMBER(SEARCH('Карта учёта'!$B$25,Расходка[[#This Row],[Наименование расходного материала]])),MAX($Q$1:Q4)+1,0)</f>
        <v>4</v>
      </c>
      <c r="R5" s="114" t="str">
        <f>IFERROR(INDEX(Расходка[Наименование расходного материала],MATCH(Расходка[[#This Row],[№]],Поиск_расходки[Индекс1],0)),"")</f>
        <v/>
      </c>
      <c r="S5" s="114" t="str">
        <f>IFERROR(INDEX(Расходка[Наименование расходного материала],MATCH(Расходка[[#This Row],[№]],Поиск_расходки[Индекс2],0)),"")</f>
        <v/>
      </c>
      <c r="T5" s="114" t="str">
        <f>IFERROR(INDEX(Расходка[Наименование расходного материала],MATCH(Расходка[[#This Row],[№]],Поиск_расходки[Индекс3],0)),"")</f>
        <v>NC Accuforce</v>
      </c>
      <c r="U5" s="114" t="str">
        <f>IFERROR(INDEX(Расходка[Наименование расходного материала],MATCH(Расходка[[#This Row],[№]],Поиск_расходки[Индекс4],0)),"")</f>
        <v>NC Accuforce</v>
      </c>
      <c r="V5" s="114" t="str">
        <f>IFERROR(INDEX(Расходка[Наименование расходного материала],MATCH(Расходка[[#This Row],[№]],Поиск_расходки[Индекс5],0)),"")</f>
        <v>NC Accuforce</v>
      </c>
      <c r="W5" s="114" t="str">
        <f>IFERROR(INDEX(Расходка[Наименование расходного материала],MATCH(Расходка[[#This Row],[№]],Поиск_расходки[Индекс6],0)),"")</f>
        <v>NC Accuforce</v>
      </c>
      <c r="X5" s="114" t="str">
        <f>IFERROR(INDEX(Расходка[Наименование расходного материала],MATCH(Расходка[[#This Row],[№]],Поиск_расходки[Индекс7],0)),"")</f>
        <v>NC Accuforce</v>
      </c>
      <c r="Y5" s="114" t="str">
        <f>IFERROR(INDEX(Расходка[Наименование расходного материала],MATCH(Расходка[[#This Row],[№]],Поиск_расходки[Индекс8],0)),"")</f>
        <v>NC Accuforce</v>
      </c>
      <c r="Z5" s="114" t="str">
        <f>IFERROR(INDEX(Расходка[Наименование расходного материала],MATCH(Расходка[[#This Row],[№]],Поиск_расходки[Индекс9],0)),"")</f>
        <v>NC Accuforce</v>
      </c>
      <c r="AA5" s="114" t="str">
        <f>IFERROR(INDEX(Расходка[Наименование расходного материала],MATCH(Расходка[[#This Row],[№]],Поиск_расходки[Индекс10],0)),"")</f>
        <v>NC Accuforce</v>
      </c>
      <c r="AB5" s="114" t="str">
        <f>IFERROR(INDEX(Расходка[Наименование расходного материала],MATCH(Расходка[[#This Row],[№]],Поиск_расходки[Индекс11],0)),"")</f>
        <v>NC Accuforce</v>
      </c>
      <c r="AC5" s="114" t="str">
        <f>IFERROR(INDEX(Расходка[Наименование расходного материала],MATCH(Расходка[[#This Row],[№]],Поиск_расходки[Индекс12],0)),"")</f>
        <v>NC Accuforce</v>
      </c>
      <c r="AD5" s="114" t="str">
        <f>IFERROR(INDEX(Расходка[Наименование расходного материала],MATCH(Расходка[[#This Row],[№]],Поиск_расходки[Индекс13],0)),"")</f>
        <v>NC Accuforce</v>
      </c>
      <c r="AF5" s="4" t="s">
        <v>5</v>
      </c>
      <c r="AG5" s="4" t="s">
        <v>403</v>
      </c>
      <c r="AI5" t="s">
        <v>190</v>
      </c>
      <c r="AJ5" t="s">
        <v>202</v>
      </c>
      <c r="AK5" t="str">
        <f t="shared" si="0"/>
        <v>Контраст: Юнигексол 350</v>
      </c>
      <c r="AM5" s="206">
        <v>136170</v>
      </c>
      <c r="AN5" s="207"/>
      <c r="AO5" s="208" t="s">
        <v>496</v>
      </c>
    </row>
    <row r="6" spans="1:42">
      <c r="A6">
        <f>ROW(Расходка[[#This Row],[Тип расходного материала ]])-1</f>
        <v>5</v>
      </c>
      <c r="B6" t="s">
        <v>5</v>
      </c>
      <c r="C6" s="1" t="s">
        <v>306</v>
      </c>
      <c r="E6" s="115">
        <f>IF(ISNUMBER(SEARCH('Карта учёта'!$B$13,Расходка[[#This Row],[Наименование расходного материала]])),MAX($E$1:E5)+1,0)</f>
        <v>0</v>
      </c>
      <c r="F6" s="115">
        <f>IF(ISNUMBER(SEARCH('Карта учёта'!$B$14,Расходка[[#This Row],[Наименование расходного материала]])),MAX($F$1:F5)+1,0)</f>
        <v>0</v>
      </c>
      <c r="G6" s="115">
        <f>IF(ISNUMBER(SEARCH('Карта учёта'!$B$15,Расходка[[#This Row],[Наименование расходного материала]])),MAX($G$1:G5)+1,0)</f>
        <v>5</v>
      </c>
      <c r="H6" s="115">
        <f>IF(ISNUMBER(SEARCH('Карта учёта'!$B$16,Расходка[[#This Row],[Наименование расходного материала]])),MAX($H$1:H5)+1,0)</f>
        <v>5</v>
      </c>
      <c r="I6" s="115">
        <f>IF(ISNUMBER(SEARCH('Карта учёта'!$B$17,Расходка[[#This Row],[Наименование расходного материала]])),MAX($I$1:I5)+1,0)</f>
        <v>5</v>
      </c>
      <c r="J6" s="115">
        <f>IF(ISNUMBER(SEARCH('Карта учёта'!$B$18,Расходка[[#This Row],[Наименование расходного материала]])),MAX($J$1:J5)+1,0)</f>
        <v>5</v>
      </c>
      <c r="K6" s="115">
        <f>IF(ISNUMBER(SEARCH('Карта учёта'!$B$19,Расходка[[#This Row],[Наименование расходного материала]])),MAX($K$1:K5)+1,0)</f>
        <v>5</v>
      </c>
      <c r="L6" s="115">
        <f>IF(ISNUMBER(SEARCH('Карта учёта'!$B$20,Расходка[[#This Row],[Наименование расходного материала]])),MAX($L$1:L5)+1,0)</f>
        <v>5</v>
      </c>
      <c r="M6" s="115">
        <f>IF(ISNUMBER(SEARCH('Карта учёта'!$B$21,Расходка[[#This Row],[Наименование расходного материала]])),MAX($M$1:M5)+1,0)</f>
        <v>5</v>
      </c>
      <c r="N6" s="115">
        <f>IF(ISNUMBER(SEARCH('Карта учёта'!$B$22,Расходка[[#This Row],[Наименование расходного материала]])),MAX($N$1:N5)+1,0)</f>
        <v>5</v>
      </c>
      <c r="O6" s="115">
        <f>IF(ISNUMBER(SEARCH('Карта учёта'!$B$23,Расходка[[#This Row],[Наименование расходного материала]])),MAX($O$1:O5)+1,0)</f>
        <v>5</v>
      </c>
      <c r="P6" s="115">
        <f>IF(ISNUMBER(SEARCH('Карта учёта'!$B$24,Расходка[[#This Row],[Наименование расходного материала]])),MAX($P$1:P5)+1,0)</f>
        <v>5</v>
      </c>
      <c r="Q6" s="115">
        <f>IF(ISNUMBER(SEARCH('Карта учёта'!$B$25,Расходка[[#This Row],[Наименование расходного материала]])),MAX($Q$1:Q5)+1,0)</f>
        <v>5</v>
      </c>
      <c r="R6" s="114" t="str">
        <f>IFERROR(INDEX(Расходка[Наименование расходного материала],MATCH(Расходка[[#This Row],[№]],Поиск_расходки[Индекс1],0)),"")</f>
        <v/>
      </c>
      <c r="S6" s="114" t="str">
        <f>IFERROR(INDEX(Расходка[Наименование расходного материала],MATCH(Расходка[[#This Row],[№]],Поиск_расходки[Индекс2],0)),"")</f>
        <v/>
      </c>
      <c r="T6" s="114" t="str">
        <f>IFERROR(INDEX(Расходка[Наименование расходного материала],MATCH(Расходка[[#This Row],[№]],Поиск_расходки[Индекс3],0)),"")</f>
        <v>NC Euphora</v>
      </c>
      <c r="U6" s="114" t="str">
        <f>IFERROR(INDEX(Расходка[Наименование расходного материала],MATCH(Расходка[[#This Row],[№]],Поиск_расходки[Индекс4],0)),"")</f>
        <v>NC Euphora</v>
      </c>
      <c r="V6" s="114" t="str">
        <f>IFERROR(INDEX(Расходка[Наименование расходного материала],MATCH(Расходка[[#This Row],[№]],Поиск_расходки[Индекс5],0)),"")</f>
        <v>NC Euphora</v>
      </c>
      <c r="W6" s="114" t="str">
        <f>IFERROR(INDEX(Расходка[Наименование расходного материала],MATCH(Расходка[[#This Row],[№]],Поиск_расходки[Индекс6],0)),"")</f>
        <v>NC Euphora</v>
      </c>
      <c r="X6" s="114" t="str">
        <f>IFERROR(INDEX(Расходка[Наименование расходного материала],MATCH(Расходка[[#This Row],[№]],Поиск_расходки[Индекс7],0)),"")</f>
        <v>NC Euphora</v>
      </c>
      <c r="Y6" s="114" t="str">
        <f>IFERROR(INDEX(Расходка[Наименование расходного материала],MATCH(Расходка[[#This Row],[№]],Поиск_расходки[Индекс8],0)),"")</f>
        <v>NC Euphora</v>
      </c>
      <c r="Z6" s="114" t="str">
        <f>IFERROR(INDEX(Расходка[Наименование расходного материала],MATCH(Расходка[[#This Row],[№]],Поиск_расходки[Индекс9],0)),"")</f>
        <v>NC Euphora</v>
      </c>
      <c r="AA6" s="114" t="str">
        <f>IFERROR(INDEX(Расходка[Наименование расходного материала],MATCH(Расходка[[#This Row],[№]],Поиск_расходки[Индекс10],0)),"")</f>
        <v>NC Euphora</v>
      </c>
      <c r="AB6" s="114" t="str">
        <f>IFERROR(INDEX(Расходка[Наименование расходного материала],MATCH(Расходка[[#This Row],[№]],Поиск_расходки[Индекс11],0)),"")</f>
        <v>NC Euphora</v>
      </c>
      <c r="AC6" s="114" t="str">
        <f>IFERROR(INDEX(Расходка[Наименование расходного материала],MATCH(Расходка[[#This Row],[№]],Поиск_расходки[Индекс12],0)),"")</f>
        <v>NC Euphora</v>
      </c>
      <c r="AD6" s="114" t="str">
        <f>IFERROR(INDEX(Расходка[Наименование расходного материала],MATCH(Расходка[[#This Row],[№]],Поиск_расходки[Индекс13],0)),"")</f>
        <v>NC Euphora</v>
      </c>
      <c r="AF6" s="4" t="s">
        <v>5</v>
      </c>
      <c r="AG6" s="4" t="s">
        <v>404</v>
      </c>
      <c r="AI6" t="s">
        <v>190</v>
      </c>
      <c r="AJ6" t="s">
        <v>203</v>
      </c>
      <c r="AK6" t="str">
        <f t="shared" si="0"/>
        <v>Контраст: Сканлюкс 370</v>
      </c>
      <c r="AM6" s="188">
        <v>135820</v>
      </c>
      <c r="AN6" s="2"/>
      <c r="AO6" t="s">
        <v>499</v>
      </c>
    </row>
    <row r="7" spans="1:42">
      <c r="A7">
        <f>ROW(Расходка[[#This Row],[Тип расходного материала ]])-1</f>
        <v>6</v>
      </c>
      <c r="B7" t="s">
        <v>5</v>
      </c>
      <c r="C7" t="s">
        <v>276</v>
      </c>
      <c r="E7" s="115">
        <f>IF(ISNUMBER(SEARCH('Карта учёта'!$B$13,Расходка[[#This Row],[Наименование расходного материала]])),MAX($E$1:E6)+1,0)</f>
        <v>0</v>
      </c>
      <c r="F7" s="115">
        <f>IF(ISNUMBER(SEARCH('Карта учёта'!$B$14,Расходка[[#This Row],[Наименование расходного материала]])),MAX($F$1:F6)+1,0)</f>
        <v>0</v>
      </c>
      <c r="G7" s="115">
        <f>IF(ISNUMBER(SEARCH('Карта учёта'!$B$15,Расходка[[#This Row],[Наименование расходного материала]])),MAX($G$1:G6)+1,0)</f>
        <v>6</v>
      </c>
      <c r="H7" s="115">
        <f>IF(ISNUMBER(SEARCH('Карта учёта'!$B$16,Расходка[[#This Row],[Наименование расходного материала]])),MAX($H$1:H6)+1,0)</f>
        <v>6</v>
      </c>
      <c r="I7" s="115">
        <f>IF(ISNUMBER(SEARCH('Карта учёта'!$B$17,Расходка[[#This Row],[Наименование расходного материала]])),MAX($I$1:I6)+1,0)</f>
        <v>6</v>
      </c>
      <c r="J7" s="115">
        <f>IF(ISNUMBER(SEARCH('Карта учёта'!$B$18,Расходка[[#This Row],[Наименование расходного материала]])),MAX($J$1:J6)+1,0)</f>
        <v>6</v>
      </c>
      <c r="K7" s="115">
        <f>IF(ISNUMBER(SEARCH('Карта учёта'!$B$19,Расходка[[#This Row],[Наименование расходного материала]])),MAX($K$1:K6)+1,0)</f>
        <v>6</v>
      </c>
      <c r="L7" s="115">
        <f>IF(ISNUMBER(SEARCH('Карта учёта'!$B$20,Расходка[[#This Row],[Наименование расходного материала]])),MAX($L$1:L6)+1,0)</f>
        <v>6</v>
      </c>
      <c r="M7" s="115">
        <f>IF(ISNUMBER(SEARCH('Карта учёта'!$B$21,Расходка[[#This Row],[Наименование расходного материала]])),MAX($M$1:M6)+1,0)</f>
        <v>6</v>
      </c>
      <c r="N7" s="115">
        <f>IF(ISNUMBER(SEARCH('Карта учёта'!$B$22,Расходка[[#This Row],[Наименование расходного материала]])),MAX($N$1:N6)+1,0)</f>
        <v>6</v>
      </c>
      <c r="O7" s="115">
        <f>IF(ISNUMBER(SEARCH('Карта учёта'!$B$23,Расходка[[#This Row],[Наименование расходного материала]])),MAX($O$1:O6)+1,0)</f>
        <v>6</v>
      </c>
      <c r="P7" s="115">
        <f>IF(ISNUMBER(SEARCH('Карта учёта'!$B$24,Расходка[[#This Row],[Наименование расходного материала]])),MAX($P$1:P6)+1,0)</f>
        <v>6</v>
      </c>
      <c r="Q7" s="115">
        <f>IF(ISNUMBER(SEARCH('Карта учёта'!$B$25,Расходка[[#This Row],[Наименование расходного материала]])),MAX($Q$1:Q6)+1,0)</f>
        <v>6</v>
      </c>
      <c r="R7" s="114" t="str">
        <f>IFERROR(INDEX(Расходка[Наименование расходного материала],MATCH(Расходка[[#This Row],[№]],Поиск_расходки[Индекс1],0)),"")</f>
        <v/>
      </c>
      <c r="S7" s="114" t="str">
        <f>IFERROR(INDEX(Расходка[Наименование расходного материала],MATCH(Расходка[[#This Row],[№]],Поиск_расходки[Индекс2],0)),"")</f>
        <v/>
      </c>
      <c r="T7" s="114" t="str">
        <f>IFERROR(INDEX(Расходка[Наименование расходного материала],MATCH(Расходка[[#This Row],[№]],Поиск_расходки[Индекс3],0)),"")</f>
        <v>Sapphire</v>
      </c>
      <c r="U7" s="114" t="str">
        <f>IFERROR(INDEX(Расходка[Наименование расходного материала],MATCH(Расходка[[#This Row],[№]],Поиск_расходки[Индекс4],0)),"")</f>
        <v>Sapphire</v>
      </c>
      <c r="V7" s="114" t="str">
        <f>IFERROR(INDEX(Расходка[Наименование расходного материала],MATCH(Расходка[[#This Row],[№]],Поиск_расходки[Индекс5],0)),"")</f>
        <v>Sapphire</v>
      </c>
      <c r="W7" s="114" t="str">
        <f>IFERROR(INDEX(Расходка[Наименование расходного материала],MATCH(Расходка[[#This Row],[№]],Поиск_расходки[Индекс6],0)),"")</f>
        <v>Sapphire</v>
      </c>
      <c r="X7" s="114" t="str">
        <f>IFERROR(INDEX(Расходка[Наименование расходного материала],MATCH(Расходка[[#This Row],[№]],Поиск_расходки[Индекс7],0)),"")</f>
        <v>Sapphire</v>
      </c>
      <c r="Y7" s="114" t="str">
        <f>IFERROR(INDEX(Расходка[Наименование расходного материала],MATCH(Расходка[[#This Row],[№]],Поиск_расходки[Индекс8],0)),"")</f>
        <v>Sapphire</v>
      </c>
      <c r="Z7" s="114" t="str">
        <f>IFERROR(INDEX(Расходка[Наименование расходного материала],MATCH(Расходка[[#This Row],[№]],Поиск_расходки[Индекс9],0)),"")</f>
        <v>Sapphire</v>
      </c>
      <c r="AA7" s="114" t="str">
        <f>IFERROR(INDEX(Расходка[Наименование расходного материала],MATCH(Расходка[[#This Row],[№]],Поиск_расходки[Индекс10],0)),"")</f>
        <v>Sapphire</v>
      </c>
      <c r="AB7" s="114" t="str">
        <f>IFERROR(INDEX(Расходка[Наименование расходного материала],MATCH(Расходка[[#This Row],[№]],Поиск_расходки[Индекс11],0)),"")</f>
        <v>Sapphire</v>
      </c>
      <c r="AC7" s="114" t="str">
        <f>IFERROR(INDEX(Расходка[Наименование расходного материала],MATCH(Расходка[[#This Row],[№]],Поиск_расходки[Индекс12],0)),"")</f>
        <v>Sapphire</v>
      </c>
      <c r="AD7" s="114" t="str">
        <f>IFERROR(INDEX(Расходка[Наименование расходного материала],MATCH(Расходка[[#This Row],[№]],Поиск_расходки[Индекс13],0)),"")</f>
        <v>Sapphire</v>
      </c>
      <c r="AF7" s="4" t="s">
        <v>5</v>
      </c>
      <c r="AG7" s="4" t="s">
        <v>405</v>
      </c>
      <c r="AI7" t="s">
        <v>190</v>
      </c>
      <c r="AJ7" t="s">
        <v>204</v>
      </c>
      <c r="AK7" t="str">
        <f t="shared" ref="AK7:AK8" si="1">CONCATENATE(AI7,AJ7)</f>
        <v>Контраст: Йогексол 350</v>
      </c>
      <c r="AM7" s="206">
        <v>155760</v>
      </c>
      <c r="AN7" s="207"/>
      <c r="AO7" s="208" t="s">
        <v>493</v>
      </c>
    </row>
    <row r="8" spans="1:42">
      <c r="A8">
        <f>ROW(Расходка[[#This Row],[Тип расходного материала ]])-1</f>
        <v>7</v>
      </c>
      <c r="B8" t="s">
        <v>5</v>
      </c>
      <c r="C8" t="s">
        <v>312</v>
      </c>
      <c r="E8" s="115">
        <f>IF(ISNUMBER(SEARCH('Карта учёта'!$B$13,Расходка[[#This Row],[Наименование расходного материала]])),MAX($E$1:E7)+1,0)</f>
        <v>0</v>
      </c>
      <c r="F8" s="115">
        <f>IF(ISNUMBER(SEARCH('Карта учёта'!$B$14,Расходка[[#This Row],[Наименование расходного материала]])),MAX($F$1:F7)+1,0)</f>
        <v>0</v>
      </c>
      <c r="G8" s="115">
        <f>IF(ISNUMBER(SEARCH('Карта учёта'!$B$15,Расходка[[#This Row],[Наименование расходного материала]])),MAX($G$1:G7)+1,0)</f>
        <v>7</v>
      </c>
      <c r="H8" s="115">
        <f>IF(ISNUMBER(SEARCH('Карта учёта'!$B$16,Расходка[[#This Row],[Наименование расходного материала]])),MAX($H$1:H7)+1,0)</f>
        <v>7</v>
      </c>
      <c r="I8" s="115">
        <f>IF(ISNUMBER(SEARCH('Карта учёта'!$B$17,Расходка[[#This Row],[Наименование расходного материала]])),MAX($I$1:I7)+1,0)</f>
        <v>7</v>
      </c>
      <c r="J8" s="115">
        <f>IF(ISNUMBER(SEARCH('Карта учёта'!$B$18,Расходка[[#This Row],[Наименование расходного материала]])),MAX($J$1:J7)+1,0)</f>
        <v>7</v>
      </c>
      <c r="K8" s="115">
        <f>IF(ISNUMBER(SEARCH('Карта учёта'!$B$19,Расходка[[#This Row],[Наименование расходного материала]])),MAX($K$1:K7)+1,0)</f>
        <v>7</v>
      </c>
      <c r="L8" s="115">
        <f>IF(ISNUMBER(SEARCH('Карта учёта'!$B$20,Расходка[[#This Row],[Наименование расходного материала]])),MAX($L$1:L7)+1,0)</f>
        <v>7</v>
      </c>
      <c r="M8" s="115">
        <f>IF(ISNUMBER(SEARCH('Карта учёта'!$B$21,Расходка[[#This Row],[Наименование расходного материала]])),MAX($M$1:M7)+1,0)</f>
        <v>7</v>
      </c>
      <c r="N8" s="115">
        <f>IF(ISNUMBER(SEARCH('Карта учёта'!$B$22,Расходка[[#This Row],[Наименование расходного материала]])),MAX($N$1:N7)+1,0)</f>
        <v>7</v>
      </c>
      <c r="O8" s="115">
        <f>IF(ISNUMBER(SEARCH('Карта учёта'!$B$23,Расходка[[#This Row],[Наименование расходного материала]])),MAX($O$1:O7)+1,0)</f>
        <v>7</v>
      </c>
      <c r="P8" s="115">
        <f>IF(ISNUMBER(SEARCH('Карта учёта'!$B$24,Расходка[[#This Row],[Наименование расходного материала]])),MAX($P$1:P7)+1,0)</f>
        <v>7</v>
      </c>
      <c r="Q8" s="115">
        <f>IF(ISNUMBER(SEARCH('Карта учёта'!$B$25,Расходка[[#This Row],[Наименование расходного материала]])),MAX($Q$1:Q7)+1,0)</f>
        <v>7</v>
      </c>
      <c r="R8" s="114" t="str">
        <f>IFERROR(INDEX(Расходка[Наименование расходного материала],MATCH(Расходка[[#This Row],[№]],Поиск_расходки[Индекс1],0)),"")</f>
        <v/>
      </c>
      <c r="S8" s="114" t="str">
        <f>IFERROR(INDEX(Расходка[Наименование расходного материала],MATCH(Расходка[[#This Row],[№]],Поиск_расходки[Индекс2],0)),"")</f>
        <v/>
      </c>
      <c r="T8" s="114" t="str">
        <f>IFERROR(INDEX(Расходка[Наименование расходного материала],MATCH(Расходка[[#This Row],[№]],Поиск_расходки[Индекс3],0)),"")</f>
        <v>Sprinter Legend</v>
      </c>
      <c r="U8" s="114" t="str">
        <f>IFERROR(INDEX(Расходка[Наименование расходного материала],MATCH(Расходка[[#This Row],[№]],Поиск_расходки[Индекс4],0)),"")</f>
        <v>Sprinter Legend</v>
      </c>
      <c r="V8" s="114" t="str">
        <f>IFERROR(INDEX(Расходка[Наименование расходного материала],MATCH(Расходка[[#This Row],[№]],Поиск_расходки[Индекс5],0)),"")</f>
        <v>Sprinter Legend</v>
      </c>
      <c r="W8" s="114" t="str">
        <f>IFERROR(INDEX(Расходка[Наименование расходного материала],MATCH(Расходка[[#This Row],[№]],Поиск_расходки[Индекс6],0)),"")</f>
        <v>Sprinter Legend</v>
      </c>
      <c r="X8" s="114" t="str">
        <f>IFERROR(INDEX(Расходка[Наименование расходного материала],MATCH(Расходка[[#This Row],[№]],Поиск_расходки[Индекс7],0)),"")</f>
        <v>Sprinter Legend</v>
      </c>
      <c r="Y8" s="114" t="str">
        <f>IFERROR(INDEX(Расходка[Наименование расходного материала],MATCH(Расходка[[#This Row],[№]],Поиск_расходки[Индекс8],0)),"")</f>
        <v>Sprinter Legend</v>
      </c>
      <c r="Z8" s="114" t="str">
        <f>IFERROR(INDEX(Расходка[Наименование расходного материала],MATCH(Расходка[[#This Row],[№]],Поиск_расходки[Индекс9],0)),"")</f>
        <v>Sprinter Legend</v>
      </c>
      <c r="AA8" s="114" t="str">
        <f>IFERROR(INDEX(Расходка[Наименование расходного материала],MATCH(Расходка[[#This Row],[№]],Поиск_расходки[Индекс10],0)),"")</f>
        <v>Sprinter Legend</v>
      </c>
      <c r="AB8" s="114" t="str">
        <f>IFERROR(INDEX(Расходка[Наименование расходного материала],MATCH(Расходка[[#This Row],[№]],Поиск_расходки[Индекс11],0)),"")</f>
        <v>Sprinter Legend</v>
      </c>
      <c r="AC8" s="114" t="str">
        <f>IFERROR(INDEX(Расходка[Наименование расходного материала],MATCH(Расходка[[#This Row],[№]],Поиск_расходки[Индекс12],0)),"")</f>
        <v>Sprinter Legend</v>
      </c>
      <c r="AD8" s="114" t="str">
        <f>IFERROR(INDEX(Расходка[Наименование расходного материала],MATCH(Расходка[[#This Row],[№]],Поиск_расходки[Индекс13],0)),"")</f>
        <v>Sprinter Legend</v>
      </c>
      <c r="AF8" s="4" t="s">
        <v>5</v>
      </c>
      <c r="AG8" s="4" t="s">
        <v>406</v>
      </c>
      <c r="AI8" t="s">
        <v>190</v>
      </c>
      <c r="AJ8" t="s">
        <v>205</v>
      </c>
      <c r="AK8" t="str">
        <f t="shared" si="1"/>
        <v>Контраст: Визипак 320</v>
      </c>
      <c r="AM8" s="188">
        <v>218140</v>
      </c>
      <c r="AN8" s="2"/>
      <c r="AO8" t="s">
        <v>89</v>
      </c>
    </row>
    <row r="9" spans="1:42">
      <c r="A9">
        <f>ROW(Расходка[[#This Row],[Тип расходного материала ]])-1</f>
        <v>8</v>
      </c>
      <c r="B9" t="s">
        <v>5</v>
      </c>
      <c r="C9" t="s">
        <v>357</v>
      </c>
      <c r="E9" s="115">
        <f>IF(ISNUMBER(SEARCH('Карта учёта'!$B$13,Расходка[[#This Row],[Наименование расходного материала]])),MAX($E$1:E8)+1,0)</f>
        <v>0</v>
      </c>
      <c r="F9" s="115">
        <f>IF(ISNUMBER(SEARCH('Карта учёта'!$B$14,Расходка[[#This Row],[Наименование расходного материала]])),MAX($F$1:F8)+1,0)</f>
        <v>0</v>
      </c>
      <c r="G9" s="115">
        <f>IF(ISNUMBER(SEARCH('Карта учёта'!$B$15,Расходка[[#This Row],[Наименование расходного материала]])),MAX($G$1:G8)+1,0)</f>
        <v>8</v>
      </c>
      <c r="H9" s="115">
        <f>IF(ISNUMBER(SEARCH('Карта учёта'!$B$16,Расходка[[#This Row],[Наименование расходного материала]])),MAX($H$1:H8)+1,0)</f>
        <v>8</v>
      </c>
      <c r="I9" s="115">
        <f>IF(ISNUMBER(SEARCH('Карта учёта'!$B$17,Расходка[[#This Row],[Наименование расходного материала]])),MAX($I$1:I8)+1,0)</f>
        <v>8</v>
      </c>
      <c r="J9" s="115">
        <f>IF(ISNUMBER(SEARCH('Карта учёта'!$B$18,Расходка[[#This Row],[Наименование расходного материала]])),MAX($J$1:J8)+1,0)</f>
        <v>8</v>
      </c>
      <c r="K9" s="115">
        <f>IF(ISNUMBER(SEARCH('Карта учёта'!$B$19,Расходка[[#This Row],[Наименование расходного материала]])),MAX($K$1:K8)+1,0)</f>
        <v>8</v>
      </c>
      <c r="L9" s="115">
        <f>IF(ISNUMBER(SEARCH('Карта учёта'!$B$20,Расходка[[#This Row],[Наименование расходного материала]])),MAX($L$1:L8)+1,0)</f>
        <v>8</v>
      </c>
      <c r="M9" s="115">
        <f>IF(ISNUMBER(SEARCH('Карта учёта'!$B$21,Расходка[[#This Row],[Наименование расходного материала]])),MAX($M$1:M8)+1,0)</f>
        <v>8</v>
      </c>
      <c r="N9" s="115">
        <f>IF(ISNUMBER(SEARCH('Карта учёта'!$B$22,Расходка[[#This Row],[Наименование расходного материала]])),MAX($N$1:N8)+1,0)</f>
        <v>8</v>
      </c>
      <c r="O9" s="115">
        <f>IF(ISNUMBER(SEARCH('Карта учёта'!$B$23,Расходка[[#This Row],[Наименование расходного материала]])),MAX($O$1:O8)+1,0)</f>
        <v>8</v>
      </c>
      <c r="P9" s="115">
        <f>IF(ISNUMBER(SEARCH('Карта учёта'!$B$24,Расходка[[#This Row],[Наименование расходного материала]])),MAX($P$1:P8)+1,0)</f>
        <v>8</v>
      </c>
      <c r="Q9" s="115">
        <f>IF(ISNUMBER(SEARCH('Карта учёта'!$B$25,Расходка[[#This Row],[Наименование расходного материала]])),MAX($Q$1:Q8)+1,0)</f>
        <v>8</v>
      </c>
      <c r="R9" s="114" t="str">
        <f>IFERROR(INDEX(Расходка[Наименование расходного материала],MATCH(Расходка[[#This Row],[№]],Поиск_расходки[Индекс1],0)),"")</f>
        <v/>
      </c>
      <c r="S9" s="114" t="str">
        <f>IFERROR(INDEX(Расходка[Наименование расходного материала],MATCH(Расходка[[#This Row],[№]],Поиск_расходки[Индекс2],0)),"")</f>
        <v/>
      </c>
      <c r="T9" s="114" t="str">
        <f>IFERROR(INDEX(Расходка[Наименование расходного материала],MATCH(Расходка[[#This Row],[№]],Поиск_расходки[Индекс3],0)),"")</f>
        <v>SubMarine Rapido, Invatec</v>
      </c>
      <c r="U9" s="114" t="str">
        <f>IFERROR(INDEX(Расходка[Наименование расходного материала],MATCH(Расходка[[#This Row],[№]],Поиск_расходки[Индекс4],0)),"")</f>
        <v>SubMarine Rapido, Invatec</v>
      </c>
      <c r="V9" s="114" t="str">
        <f>IFERROR(INDEX(Расходка[Наименование расходного материала],MATCH(Расходка[[#This Row],[№]],Поиск_расходки[Индекс5],0)),"")</f>
        <v>SubMarine Rapido, Invatec</v>
      </c>
      <c r="W9" s="114" t="str">
        <f>IFERROR(INDEX(Расходка[Наименование расходного материала],MATCH(Расходка[[#This Row],[№]],Поиск_расходки[Индекс6],0)),"")</f>
        <v>SubMarine Rapido, Invatec</v>
      </c>
      <c r="X9" s="114" t="str">
        <f>IFERROR(INDEX(Расходка[Наименование расходного материала],MATCH(Расходка[[#This Row],[№]],Поиск_расходки[Индекс7],0)),"")</f>
        <v>SubMarine Rapido, Invatec</v>
      </c>
      <c r="Y9" s="114" t="str">
        <f>IFERROR(INDEX(Расходка[Наименование расходного материала],MATCH(Расходка[[#This Row],[№]],Поиск_расходки[Индекс8],0)),"")</f>
        <v>SubMarine Rapido, Invatec</v>
      </c>
      <c r="Z9" s="114" t="str">
        <f>IFERROR(INDEX(Расходка[Наименование расходного материала],MATCH(Расходка[[#This Row],[№]],Поиск_расходки[Индекс9],0)),"")</f>
        <v>SubMarine Rapido, Invatec</v>
      </c>
      <c r="AA9" s="114" t="str">
        <f>IFERROR(INDEX(Расходка[Наименование расходного материала],MATCH(Расходка[[#This Row],[№]],Поиск_расходки[Индекс10],0)),"")</f>
        <v>SubMarine Rapido, Invatec</v>
      </c>
      <c r="AB9" s="114" t="str">
        <f>IFERROR(INDEX(Расходка[Наименование расходного материала],MATCH(Расходка[[#This Row],[№]],Поиск_расходки[Индекс11],0)),"")</f>
        <v>SubMarine Rapido, Invatec</v>
      </c>
      <c r="AC9" s="114" t="str">
        <f>IFERROR(INDEX(Расходка[Наименование расходного материала],MATCH(Расходка[[#This Row],[№]],Поиск_расходки[Индекс12],0)),"")</f>
        <v>SubMarine Rapido, Invatec</v>
      </c>
      <c r="AD9" s="114" t="str">
        <f>IFERROR(INDEX(Расходка[Наименование расходного материала],MATCH(Расходка[[#This Row],[№]],Поиск_расходки[Индекс13],0)),"")</f>
        <v>SubMarine Rapido, Invatec</v>
      </c>
      <c r="AF9" s="4" t="s">
        <v>5</v>
      </c>
      <c r="AG9" s="4" t="s">
        <v>407</v>
      </c>
      <c r="AM9" s="188">
        <v>218160</v>
      </c>
      <c r="AN9" s="2"/>
      <c r="AO9" t="s">
        <v>90</v>
      </c>
    </row>
    <row r="10" spans="1:42">
      <c r="A10">
        <f>ROW(Расходка[[#This Row],[Тип расходного материала ]])-1</f>
        <v>9</v>
      </c>
      <c r="B10" t="s">
        <v>5</v>
      </c>
      <c r="C10" t="s">
        <v>373</v>
      </c>
      <c r="E10" s="115">
        <f>IF(ISNUMBER(SEARCH('Карта учёта'!$B$13,Расходка[[#This Row],[Наименование расходного материала]])),MAX($E$1:E9)+1,0)</f>
        <v>0</v>
      </c>
      <c r="F10" s="115">
        <f>IF(ISNUMBER(SEARCH('Карта учёта'!$B$14,Расходка[[#This Row],[Наименование расходного материала]])),MAX($F$1:F9)+1,0)</f>
        <v>0</v>
      </c>
      <c r="G10" s="115">
        <f>IF(ISNUMBER(SEARCH('Карта учёта'!$B$15,Расходка[[#This Row],[Наименование расходного материала]])),MAX($G$1:G9)+1,0)</f>
        <v>9</v>
      </c>
      <c r="H10" s="115">
        <f>IF(ISNUMBER(SEARCH('Карта учёта'!$B$16,Расходка[[#This Row],[Наименование расходного материала]])),MAX($H$1:H9)+1,0)</f>
        <v>9</v>
      </c>
      <c r="I10" s="115">
        <f>IF(ISNUMBER(SEARCH('Карта учёта'!$B$17,Расходка[[#This Row],[Наименование расходного материала]])),MAX($I$1:I9)+1,0)</f>
        <v>9</v>
      </c>
      <c r="J10" s="115">
        <f>IF(ISNUMBER(SEARCH('Карта учёта'!$B$18,Расходка[[#This Row],[Наименование расходного материала]])),MAX($J$1:J9)+1,0)</f>
        <v>9</v>
      </c>
      <c r="K10" s="115">
        <f>IF(ISNUMBER(SEARCH('Карта учёта'!$B$19,Расходка[[#This Row],[Наименование расходного материала]])),MAX($K$1:K9)+1,0)</f>
        <v>9</v>
      </c>
      <c r="L10" s="115">
        <f>IF(ISNUMBER(SEARCH('Карта учёта'!$B$20,Расходка[[#This Row],[Наименование расходного материала]])),MAX($L$1:L9)+1,0)</f>
        <v>9</v>
      </c>
      <c r="M10" s="115">
        <f>IF(ISNUMBER(SEARCH('Карта учёта'!$B$21,Расходка[[#This Row],[Наименование расходного материала]])),MAX($M$1:M9)+1,0)</f>
        <v>9</v>
      </c>
      <c r="N10" s="115">
        <f>IF(ISNUMBER(SEARCH('Карта учёта'!$B$22,Расходка[[#This Row],[Наименование расходного материала]])),MAX($N$1:N9)+1,0)</f>
        <v>9</v>
      </c>
      <c r="O10" s="115">
        <f>IF(ISNUMBER(SEARCH('Карта учёта'!$B$23,Расходка[[#This Row],[Наименование расходного материала]])),MAX($O$1:O9)+1,0)</f>
        <v>9</v>
      </c>
      <c r="P10" s="115">
        <f>IF(ISNUMBER(SEARCH('Карта учёта'!$B$24,Расходка[[#This Row],[Наименование расходного материала]])),MAX($P$1:P9)+1,0)</f>
        <v>9</v>
      </c>
      <c r="Q10" s="115">
        <f>IF(ISNUMBER(SEARCH('Карта учёта'!$B$25,Расходка[[#This Row],[Наименование расходного материала]])),MAX($Q$1:Q9)+1,0)</f>
        <v>9</v>
      </c>
      <c r="R10" s="114" t="str">
        <f>IFERROR(INDEX(Расходка[Наименование расходного материала],MATCH(Расходка[[#This Row],[№]],Поиск_расходки[Индекс1],0)),"")</f>
        <v/>
      </c>
      <c r="S10" s="114" t="str">
        <f>IFERROR(INDEX(Расходка[Наименование расходного материала],MATCH(Расходка[[#This Row],[№]],Поиск_расходки[Индекс2],0)),"")</f>
        <v/>
      </c>
      <c r="T10" s="114" t="str">
        <f>IFERROR(INDEX(Расходка[Наименование расходного материала],MATCH(Расходка[[#This Row],[№]],Поиск_расходки[Индекс3],0)),"")</f>
        <v>Колибри</v>
      </c>
      <c r="U10" s="114" t="str">
        <f>IFERROR(INDEX(Расходка[Наименование расходного материала],MATCH(Расходка[[#This Row],[№]],Поиск_расходки[Индекс4],0)),"")</f>
        <v>Колибри</v>
      </c>
      <c r="V10" s="114" t="str">
        <f>IFERROR(INDEX(Расходка[Наименование расходного материала],MATCH(Расходка[[#This Row],[№]],Поиск_расходки[Индекс5],0)),"")</f>
        <v>Колибри</v>
      </c>
      <c r="W10" s="114" t="str">
        <f>IFERROR(INDEX(Расходка[Наименование расходного материала],MATCH(Расходка[[#This Row],[№]],Поиск_расходки[Индекс6],0)),"")</f>
        <v>Колибри</v>
      </c>
      <c r="X10" s="114" t="str">
        <f>IFERROR(INDEX(Расходка[Наименование расходного материала],MATCH(Расходка[[#This Row],[№]],Поиск_расходки[Индекс7],0)),"")</f>
        <v>Колибри</v>
      </c>
      <c r="Y10" s="114" t="str">
        <f>IFERROR(INDEX(Расходка[Наименование расходного материала],MATCH(Расходка[[#This Row],[№]],Поиск_расходки[Индекс8],0)),"")</f>
        <v>Колибри</v>
      </c>
      <c r="Z10" s="114" t="str">
        <f>IFERROR(INDEX(Расходка[Наименование расходного материала],MATCH(Расходка[[#This Row],[№]],Поиск_расходки[Индекс9],0)),"")</f>
        <v>Колибри</v>
      </c>
      <c r="AA10" s="114" t="str">
        <f>IFERROR(INDEX(Расходка[Наименование расходного материала],MATCH(Расходка[[#This Row],[№]],Поиск_расходки[Индекс10],0)),"")</f>
        <v>Колибри</v>
      </c>
      <c r="AB10" s="114" t="str">
        <f>IFERROR(INDEX(Расходка[Наименование расходного материала],MATCH(Расходка[[#This Row],[№]],Поиск_расходки[Индекс11],0)),"")</f>
        <v>Колибри</v>
      </c>
      <c r="AC10" s="114" t="str">
        <f>IFERROR(INDEX(Расходка[Наименование расходного материала],MATCH(Расходка[[#This Row],[№]],Поиск_расходки[Индекс12],0)),"")</f>
        <v>Колибри</v>
      </c>
      <c r="AD10" s="114" t="str">
        <f>IFERROR(INDEX(Расходка[Наименование расходного материала],MATCH(Расходка[[#This Row],[№]],Поиск_расходки[Индекс13],0)),"")</f>
        <v>Колибри</v>
      </c>
      <c r="AF10" s="4" t="s">
        <v>5</v>
      </c>
      <c r="AG10" s="4" t="s">
        <v>408</v>
      </c>
      <c r="AI10" t="s">
        <v>354</v>
      </c>
      <c r="AM10" s="188">
        <v>194510</v>
      </c>
      <c r="AN10" s="2"/>
      <c r="AO10" t="s">
        <v>91</v>
      </c>
    </row>
    <row r="11" spans="1:42">
      <c r="A11">
        <f>ROW(Расходка[[#This Row],[Тип расходного материала ]])-1</f>
        <v>10</v>
      </c>
      <c r="B11" t="s">
        <v>5</v>
      </c>
      <c r="C11" t="s">
        <v>396</v>
      </c>
      <c r="E11" s="115">
        <f>IF(ISNUMBER(SEARCH('Карта учёта'!$B$13,Расходка[[#This Row],[Наименование расходного материала]])),MAX($E$1:E10)+1,0)</f>
        <v>0</v>
      </c>
      <c r="F11" s="115">
        <f>IF(ISNUMBER(SEARCH('Карта учёта'!$B$14,Расходка[[#This Row],[Наименование расходного материала]])),MAX($F$1:F10)+1,0)</f>
        <v>0</v>
      </c>
      <c r="G11" s="115">
        <f>IF(ISNUMBER(SEARCH('Карта учёта'!$B$15,Расходка[[#This Row],[Наименование расходного материала]])),MAX($G$1:G10)+1,0)</f>
        <v>10</v>
      </c>
      <c r="H11" s="115">
        <f>IF(ISNUMBER(SEARCH('Карта учёта'!$B$16,Расходка[[#This Row],[Наименование расходного материала]])),MAX($H$1:H10)+1,0)</f>
        <v>10</v>
      </c>
      <c r="I11" s="115">
        <f>IF(ISNUMBER(SEARCH('Карта учёта'!$B$17,Расходка[[#This Row],[Наименование расходного материала]])),MAX($I$1:I10)+1,0)</f>
        <v>10</v>
      </c>
      <c r="J11" s="115">
        <f>IF(ISNUMBER(SEARCH('Карта учёта'!$B$18,Расходка[[#This Row],[Наименование расходного материала]])),MAX($J$1:J10)+1,0)</f>
        <v>10</v>
      </c>
      <c r="K11" s="115">
        <f>IF(ISNUMBER(SEARCH('Карта учёта'!$B$19,Расходка[[#This Row],[Наименование расходного материала]])),MAX($K$1:K10)+1,0)</f>
        <v>10</v>
      </c>
      <c r="L11" s="115">
        <f>IF(ISNUMBER(SEARCH('Карта учёта'!$B$20,Расходка[[#This Row],[Наименование расходного материала]])),MAX($L$1:L10)+1,0)</f>
        <v>10</v>
      </c>
      <c r="M11" s="115">
        <f>IF(ISNUMBER(SEARCH('Карта учёта'!$B$21,Расходка[[#This Row],[Наименование расходного материала]])),MAX($M$1:M10)+1,0)</f>
        <v>10</v>
      </c>
      <c r="N11" s="115">
        <f>IF(ISNUMBER(SEARCH('Карта учёта'!$B$22,Расходка[[#This Row],[Наименование расходного материала]])),MAX($N$1:N10)+1,0)</f>
        <v>10</v>
      </c>
      <c r="O11" s="115">
        <f>IF(ISNUMBER(SEARCH('Карта учёта'!$B$23,Расходка[[#This Row],[Наименование расходного материала]])),MAX($O$1:O10)+1,0)</f>
        <v>10</v>
      </c>
      <c r="P11" s="115">
        <f>IF(ISNUMBER(SEARCH('Карта учёта'!$B$24,Расходка[[#This Row],[Наименование расходного материала]])),MAX($P$1:P10)+1,0)</f>
        <v>10</v>
      </c>
      <c r="Q11" s="115">
        <f>IF(ISNUMBER(SEARCH('Карта учёта'!$B$25,Расходка[[#This Row],[Наименование расходного материала]])),MAX($Q$1:Q10)+1,0)</f>
        <v>10</v>
      </c>
      <c r="R11" s="114" t="str">
        <f>IFERROR(INDEX(Расходка[Наименование расходного материала],MATCH(Расходка[[#This Row],[№]],Поиск_расходки[Индекс1],0)),"")</f>
        <v/>
      </c>
      <c r="S11" s="114" t="str">
        <f>IFERROR(INDEX(Расходка[Наименование расходного материала],MATCH(Расходка[[#This Row],[№]],Поиск_расходки[Индекс2],0)),"")</f>
        <v/>
      </c>
      <c r="T11" s="114" t="str">
        <f>IFERROR(INDEX(Расходка[Наименование расходного материала],MATCH(Расходка[[#This Row],[№]],Поиск_расходки[Индекс3],0)),"")</f>
        <v xml:space="preserve">NC Колибри </v>
      </c>
      <c r="U11" s="114" t="str">
        <f>IFERROR(INDEX(Расходка[Наименование расходного материала],MATCH(Расходка[[#This Row],[№]],Поиск_расходки[Индекс4],0)),"")</f>
        <v xml:space="preserve">NC Колибри </v>
      </c>
      <c r="V11" s="114" t="str">
        <f>IFERROR(INDEX(Расходка[Наименование расходного материала],MATCH(Расходка[[#This Row],[№]],Поиск_расходки[Индекс5],0)),"")</f>
        <v xml:space="preserve">NC Колибри </v>
      </c>
      <c r="W11" s="114" t="str">
        <f>IFERROR(INDEX(Расходка[Наименование расходного материала],MATCH(Расходка[[#This Row],[№]],Поиск_расходки[Индекс6],0)),"")</f>
        <v xml:space="preserve">NC Колибри </v>
      </c>
      <c r="X11" s="114" t="str">
        <f>IFERROR(INDEX(Расходка[Наименование расходного материала],MATCH(Расходка[[#This Row],[№]],Поиск_расходки[Индекс7],0)),"")</f>
        <v xml:space="preserve">NC Колибри </v>
      </c>
      <c r="Y11" s="114" t="str">
        <f>IFERROR(INDEX(Расходка[Наименование расходного материала],MATCH(Расходка[[#This Row],[№]],Поиск_расходки[Индекс8],0)),"")</f>
        <v xml:space="preserve">NC Колибри </v>
      </c>
      <c r="Z11" s="114" t="str">
        <f>IFERROR(INDEX(Расходка[Наименование расходного материала],MATCH(Расходка[[#This Row],[№]],Поиск_расходки[Индекс9],0)),"")</f>
        <v xml:space="preserve">NC Колибри </v>
      </c>
      <c r="AA11" s="114" t="str">
        <f>IFERROR(INDEX(Расходка[Наименование расходного материала],MATCH(Расходка[[#This Row],[№]],Поиск_расходки[Индекс10],0)),"")</f>
        <v xml:space="preserve">NC Колибри </v>
      </c>
      <c r="AB11" s="114" t="str">
        <f>IFERROR(INDEX(Расходка[Наименование расходного материала],MATCH(Расходка[[#This Row],[№]],Поиск_расходки[Индекс11],0)),"")</f>
        <v xml:space="preserve">NC Колибри </v>
      </c>
      <c r="AC11" s="114" t="str">
        <f>IFERROR(INDEX(Расходка[Наименование расходного материала],MATCH(Расходка[[#This Row],[№]],Поиск_расходки[Индекс12],0)),"")</f>
        <v xml:space="preserve">NC Колибри </v>
      </c>
      <c r="AD11" s="114" t="str">
        <f>IFERROR(INDEX(Расходка[Наименование расходного материала],MATCH(Расходка[[#This Row],[№]],Поиск_расходки[Индекс13],0)),"")</f>
        <v xml:space="preserve">NC Колибри </v>
      </c>
      <c r="AF11" s="4" t="s">
        <v>5</v>
      </c>
      <c r="AG11" s="4" t="s">
        <v>409</v>
      </c>
      <c r="AI11" t="s">
        <v>4</v>
      </c>
      <c r="AM11" s="188">
        <v>323500</v>
      </c>
      <c r="AN11" s="2"/>
      <c r="AO11" t="s">
        <v>92</v>
      </c>
    </row>
    <row r="12" spans="1:42">
      <c r="A12">
        <f>ROW(Расходка[[#This Row],[Тип расходного материала ]])-1</f>
        <v>11</v>
      </c>
      <c r="B12" t="s">
        <v>5</v>
      </c>
      <c r="C12" t="s">
        <v>512</v>
      </c>
      <c r="E12" s="115">
        <f>IF(ISNUMBER(SEARCH('Карта учёта'!$B$13,Расходка[[#This Row],[Наименование расходного материала]])),MAX($E$1:E11)+1,0)</f>
        <v>0</v>
      </c>
      <c r="F12" s="115">
        <f>IF(ISNUMBER(SEARCH('Карта учёта'!$B$14,Расходка[[#This Row],[Наименование расходного материала]])),MAX($F$1:F11)+1,0)</f>
        <v>0</v>
      </c>
      <c r="G12" s="115">
        <f>IF(ISNUMBER(SEARCH('Карта учёта'!$B$15,Расходка[[#This Row],[Наименование расходного материала]])),MAX($G$1:G11)+1,0)</f>
        <v>11</v>
      </c>
      <c r="H12" s="115">
        <f>IF(ISNUMBER(SEARCH('Карта учёта'!$B$16,Расходка[[#This Row],[Наименование расходного материала]])),MAX($H$1:H11)+1,0)</f>
        <v>11</v>
      </c>
      <c r="I12" s="115">
        <f>IF(ISNUMBER(SEARCH('Карта учёта'!$B$17,Расходка[[#This Row],[Наименование расходного материала]])),MAX($I$1:I11)+1,0)</f>
        <v>11</v>
      </c>
      <c r="J12" s="115">
        <f>IF(ISNUMBER(SEARCH('Карта учёта'!$B$18,Расходка[[#This Row],[Наименование расходного материала]])),MAX($J$1:J11)+1,0)</f>
        <v>11</v>
      </c>
      <c r="K12" s="115">
        <f>IF(ISNUMBER(SEARCH('Карта учёта'!$B$19,Расходка[[#This Row],[Наименование расходного материала]])),MAX($K$1:K11)+1,0)</f>
        <v>11</v>
      </c>
      <c r="L12" s="115">
        <f>IF(ISNUMBER(SEARCH('Карта учёта'!$B$20,Расходка[[#This Row],[Наименование расходного материала]])),MAX($L$1:L11)+1,0)</f>
        <v>11</v>
      </c>
      <c r="M12" s="115">
        <f>IF(ISNUMBER(SEARCH('Карта учёта'!$B$21,Расходка[[#This Row],[Наименование расходного материала]])),MAX($M$1:M11)+1,0)</f>
        <v>11</v>
      </c>
      <c r="N12" s="115">
        <f>IF(ISNUMBER(SEARCH('Карта учёта'!$B$22,Расходка[[#This Row],[Наименование расходного материала]])),MAX($N$1:N11)+1,0)</f>
        <v>11</v>
      </c>
      <c r="O12" s="115">
        <f>IF(ISNUMBER(SEARCH('Карта учёта'!$B$23,Расходка[[#This Row],[Наименование расходного материала]])),MAX($O$1:O11)+1,0)</f>
        <v>11</v>
      </c>
      <c r="P12" s="115">
        <f>IF(ISNUMBER(SEARCH('Карта учёта'!$B$24,Расходка[[#This Row],[Наименование расходного материала]])),MAX($P$1:P11)+1,0)</f>
        <v>11</v>
      </c>
      <c r="Q12" s="115">
        <f>IF(ISNUMBER(SEARCH('Карта учёта'!$B$25,Расходка[[#This Row],[Наименование расходного материала]])),MAX($Q$1:Q11)+1,0)</f>
        <v>11</v>
      </c>
      <c r="R12" s="114" t="str">
        <f>IFERROR(INDEX(Расходка[Наименование расходного материала],MATCH(Расходка[[#This Row],[№]],Поиск_расходки[Индекс1],0)),"")</f>
        <v/>
      </c>
      <c r="S12" s="114" t="str">
        <f>IFERROR(INDEX(Расходка[Наименование расходного материала],MATCH(Расходка[[#This Row],[№]],Поиск_расходки[Индекс2],0)),"")</f>
        <v/>
      </c>
      <c r="T12" s="114" t="str">
        <f>IFERROR(INDEX(Расходка[Наименование расходного материала],MATCH(Расходка[[#This Row],[№]],Поиск_расходки[Индекс3],0)),"")</f>
        <v>NC АКСИОМА</v>
      </c>
      <c r="U12" s="114" t="str">
        <f>IFERROR(INDEX(Расходка[Наименование расходного материала],MATCH(Расходка[[#This Row],[№]],Поиск_расходки[Индекс4],0)),"")</f>
        <v>NC АКСИОМА</v>
      </c>
      <c r="V12" s="114" t="str">
        <f>IFERROR(INDEX(Расходка[Наименование расходного материала],MATCH(Расходка[[#This Row],[№]],Поиск_расходки[Индекс5],0)),"")</f>
        <v>NC АКСИОМА</v>
      </c>
      <c r="W12" s="114" t="str">
        <f>IFERROR(INDEX(Расходка[Наименование расходного материала],MATCH(Расходка[[#This Row],[№]],Поиск_расходки[Индекс6],0)),"")</f>
        <v>NC АКСИОМА</v>
      </c>
      <c r="X12" s="114" t="str">
        <f>IFERROR(INDEX(Расходка[Наименование расходного материала],MATCH(Расходка[[#This Row],[№]],Поиск_расходки[Индекс7],0)),"")</f>
        <v>NC АКСИОМА</v>
      </c>
      <c r="Y12" s="114" t="str">
        <f>IFERROR(INDEX(Расходка[Наименование расходного материала],MATCH(Расходка[[#This Row],[№]],Поиск_расходки[Индекс8],0)),"")</f>
        <v>NC АКСИОМА</v>
      </c>
      <c r="Z12" s="114" t="str">
        <f>IFERROR(INDEX(Расходка[Наименование расходного материала],MATCH(Расходка[[#This Row],[№]],Поиск_расходки[Индекс9],0)),"")</f>
        <v>NC АКСИОМА</v>
      </c>
      <c r="AA12" s="114" t="str">
        <f>IFERROR(INDEX(Расходка[Наименование расходного материала],MATCH(Расходка[[#This Row],[№]],Поиск_расходки[Индекс10],0)),"")</f>
        <v>NC АКСИОМА</v>
      </c>
      <c r="AB12" s="114" t="str">
        <f>IFERROR(INDEX(Расходка[Наименование расходного материала],MATCH(Расходка[[#This Row],[№]],Поиск_расходки[Индекс11],0)),"")</f>
        <v>NC АКСИОМА</v>
      </c>
      <c r="AC12" s="114" t="str">
        <f>IFERROR(INDEX(Расходка[Наименование расходного материала],MATCH(Расходка[[#This Row],[№]],Поиск_расходки[Индекс12],0)),"")</f>
        <v>NC АКСИОМА</v>
      </c>
      <c r="AD12" s="114" t="str">
        <f>IFERROR(INDEX(Расходка[Наименование расходного материала],MATCH(Расходка[[#This Row],[№]],Поиск_расходки[Индекс13],0)),"")</f>
        <v>NC АКСИОМА</v>
      </c>
      <c r="AF12" s="4" t="s">
        <v>5</v>
      </c>
      <c r="AG12" s="4" t="s">
        <v>410</v>
      </c>
      <c r="AI12" t="s">
        <v>3</v>
      </c>
      <c r="AM12" s="188">
        <v>323510</v>
      </c>
      <c r="AN12" s="2"/>
      <c r="AO12" t="s">
        <v>93</v>
      </c>
    </row>
    <row r="13" spans="1:42">
      <c r="A13">
        <f>ROW(Расходка[[#This Row],[Тип расходного материала ]])-1</f>
        <v>12</v>
      </c>
      <c r="B13" t="s">
        <v>5</v>
      </c>
      <c r="C13" t="s">
        <v>527</v>
      </c>
      <c r="D13" s="1"/>
      <c r="E13" s="115">
        <f>IF(ISNUMBER(SEARCH('Карта учёта'!$B$13,Расходка[[#This Row],[Наименование расходного материала]])),MAX($E$1:E12)+1,0)</f>
        <v>0</v>
      </c>
      <c r="F13" s="115">
        <f>IF(ISNUMBER(SEARCH('Карта учёта'!$B$14,Расходка[[#This Row],[Наименование расходного материала]])),MAX($F$1:F12)+1,0)</f>
        <v>0</v>
      </c>
      <c r="G13" s="115">
        <f>IF(ISNUMBER(SEARCH('Карта учёта'!$B$15,Расходка[[#This Row],[Наименование расходного материала]])),MAX($G$1:G12)+1,0)</f>
        <v>12</v>
      </c>
      <c r="H13" s="115">
        <f>IF(ISNUMBER(SEARCH('Карта учёта'!$B$16,Расходка[[#This Row],[Наименование расходного материала]])),MAX($H$1:H12)+1,0)</f>
        <v>12</v>
      </c>
      <c r="I13" s="115">
        <f>IF(ISNUMBER(SEARCH('Карта учёта'!$B$17,Расходка[[#This Row],[Наименование расходного материала]])),MAX($I$1:I12)+1,0)</f>
        <v>12</v>
      </c>
      <c r="J13" s="115">
        <f>IF(ISNUMBER(SEARCH('Карта учёта'!$B$18,Расходка[[#This Row],[Наименование расходного материала]])),MAX($J$1:J12)+1,0)</f>
        <v>12</v>
      </c>
      <c r="K13" s="115">
        <f>IF(ISNUMBER(SEARCH('Карта учёта'!$B$19,Расходка[[#This Row],[Наименование расходного материала]])),MAX($K$1:K12)+1,0)</f>
        <v>12</v>
      </c>
      <c r="L13" s="115">
        <f>IF(ISNUMBER(SEARCH('Карта учёта'!$B$20,Расходка[[#This Row],[Наименование расходного материала]])),MAX($L$1:L12)+1,0)</f>
        <v>12</v>
      </c>
      <c r="M13" s="115">
        <f>IF(ISNUMBER(SEARCH('Карта учёта'!$B$21,Расходка[[#This Row],[Наименование расходного материала]])),MAX($M$1:M12)+1,0)</f>
        <v>12</v>
      </c>
      <c r="N13" s="115">
        <f>IF(ISNUMBER(SEARCH('Карта учёта'!$B$22,Расходка[[#This Row],[Наименование расходного материала]])),MAX($N$1:N12)+1,0)</f>
        <v>12</v>
      </c>
      <c r="O13" s="115">
        <f>IF(ISNUMBER(SEARCH('Карта учёта'!$B$23,Расходка[[#This Row],[Наименование расходного материала]])),MAX($O$1:O12)+1,0)</f>
        <v>12</v>
      </c>
      <c r="P13" s="115">
        <f>IF(ISNUMBER(SEARCH('Карта учёта'!$B$24,Расходка[[#This Row],[Наименование расходного материала]])),MAX($P$1:P12)+1,0)</f>
        <v>12</v>
      </c>
      <c r="Q13" s="115">
        <f>IF(ISNUMBER(SEARCH('Карта учёта'!$B$25,Расходка[[#This Row],[Наименование расходного материала]])),MAX($Q$1:Q12)+1,0)</f>
        <v>12</v>
      </c>
      <c r="R13" s="114" t="str">
        <f>IFERROR(INDEX(Расходка[Наименование расходного материала],MATCH(Расходка[[#This Row],[№]],Поиск_расходки[Индекс1],0)),"")</f>
        <v/>
      </c>
      <c r="S13" s="114" t="str">
        <f>IFERROR(INDEX(Расходка[Наименование расходного материала],MATCH(Расходка[[#This Row],[№]],Поиск_расходки[Индекс2],0)),"")</f>
        <v/>
      </c>
      <c r="T13" s="114" t="str">
        <f>IFERROR(INDEX(Расходка[Наименование расходного материала],MATCH(Расходка[[#This Row],[№]],Поиск_расходки[Индекс3],0)),"")</f>
        <v>Artimes</v>
      </c>
      <c r="U13" s="114" t="str">
        <f>IFERROR(INDEX(Расходка[Наименование расходного материала],MATCH(Расходка[[#This Row],[№]],Поиск_расходки[Индекс4],0)),"")</f>
        <v>Artimes</v>
      </c>
      <c r="V13" s="114" t="str">
        <f>IFERROR(INDEX(Расходка[Наименование расходного материала],MATCH(Расходка[[#This Row],[№]],Поиск_расходки[Индекс5],0)),"")</f>
        <v>Artimes</v>
      </c>
      <c r="W13" s="114" t="str">
        <f>IFERROR(INDEX(Расходка[Наименование расходного материала],MATCH(Расходка[[#This Row],[№]],Поиск_расходки[Индекс6],0)),"")</f>
        <v>Artimes</v>
      </c>
      <c r="X13" s="114" t="str">
        <f>IFERROR(INDEX(Расходка[Наименование расходного материала],MATCH(Расходка[[#This Row],[№]],Поиск_расходки[Индекс7],0)),"")</f>
        <v>Artimes</v>
      </c>
      <c r="Y13" s="114" t="str">
        <f>IFERROR(INDEX(Расходка[Наименование расходного материала],MATCH(Расходка[[#This Row],[№]],Поиск_расходки[Индекс8],0)),"")</f>
        <v>Artimes</v>
      </c>
      <c r="Z13" s="114" t="str">
        <f>IFERROR(INDEX(Расходка[Наименование расходного материала],MATCH(Расходка[[#This Row],[№]],Поиск_расходки[Индекс9],0)),"")</f>
        <v>Artimes</v>
      </c>
      <c r="AA13" s="114" t="str">
        <f>IFERROR(INDEX(Расходка[Наименование расходного материала],MATCH(Расходка[[#This Row],[№]],Поиск_расходки[Индекс10],0)),"")</f>
        <v>Artimes</v>
      </c>
      <c r="AB13" s="114" t="str">
        <f>IFERROR(INDEX(Расходка[Наименование расходного материала],MATCH(Расходка[[#This Row],[№]],Поиск_расходки[Индекс11],0)),"")</f>
        <v>Artimes</v>
      </c>
      <c r="AC13" s="114" t="str">
        <f>IFERROR(INDEX(Расходка[Наименование расходного материала],MATCH(Расходка[[#This Row],[№]],Поиск_расходки[Индекс12],0)),"")</f>
        <v>Artimes</v>
      </c>
      <c r="AD13" s="114" t="str">
        <f>IFERROR(INDEX(Расходка[Наименование расходного материала],MATCH(Расходка[[#This Row],[№]],Поиск_расходки[Индекс13],0)),"")</f>
        <v>Artimes</v>
      </c>
      <c r="AF13" s="4" t="s">
        <v>5</v>
      </c>
      <c r="AG13" s="4" t="s">
        <v>411</v>
      </c>
      <c r="AI13" t="s">
        <v>6</v>
      </c>
      <c r="AN13" s="2"/>
    </row>
    <row r="14" spans="1:42">
      <c r="A14">
        <f>ROW(Расходка[[#This Row],[Тип расходного материала ]])-1</f>
        <v>13</v>
      </c>
      <c r="B14" t="s">
        <v>5</v>
      </c>
      <c r="C14" t="s">
        <v>528</v>
      </c>
      <c r="E14" s="115">
        <f>IF(ISNUMBER(SEARCH('Карта учёта'!$B$13,Расходка[[#This Row],[Наименование расходного материала]])),MAX($E$1:E13)+1,0)</f>
        <v>0</v>
      </c>
      <c r="F14" s="115">
        <f>IF(ISNUMBER(SEARCH('Карта учёта'!$B$14,Расходка[[#This Row],[Наименование расходного материала]])),MAX($F$1:F13)+1,0)</f>
        <v>0</v>
      </c>
      <c r="G14" s="115">
        <f>IF(ISNUMBER(SEARCH('Карта учёта'!$B$15,Расходка[[#This Row],[Наименование расходного материала]])),MAX($G$1:G13)+1,0)</f>
        <v>13</v>
      </c>
      <c r="H14" s="115">
        <f>IF(ISNUMBER(SEARCH('Карта учёта'!$B$16,Расходка[[#This Row],[Наименование расходного материала]])),MAX($H$1:H13)+1,0)</f>
        <v>13</v>
      </c>
      <c r="I14" s="115">
        <f>IF(ISNUMBER(SEARCH('Карта учёта'!$B$17,Расходка[[#This Row],[Наименование расходного материала]])),MAX($I$1:I13)+1,0)</f>
        <v>13</v>
      </c>
      <c r="J14" s="115">
        <f>IF(ISNUMBER(SEARCH('Карта учёта'!$B$18,Расходка[[#This Row],[Наименование расходного материала]])),MAX($J$1:J13)+1,0)</f>
        <v>13</v>
      </c>
      <c r="K14" s="115">
        <f>IF(ISNUMBER(SEARCH('Карта учёта'!$B$19,Расходка[[#This Row],[Наименование расходного материала]])),MAX($K$1:K13)+1,0)</f>
        <v>13</v>
      </c>
      <c r="L14" s="115">
        <f>IF(ISNUMBER(SEARCH('Карта учёта'!$B$20,Расходка[[#This Row],[Наименование расходного материала]])),MAX($L$1:L13)+1,0)</f>
        <v>13</v>
      </c>
      <c r="M14" s="115">
        <f>IF(ISNUMBER(SEARCH('Карта учёта'!$B$21,Расходка[[#This Row],[Наименование расходного материала]])),MAX($M$1:M13)+1,0)</f>
        <v>13</v>
      </c>
      <c r="N14" s="115">
        <f>IF(ISNUMBER(SEARCH('Карта учёта'!$B$22,Расходка[[#This Row],[Наименование расходного материала]])),MAX($N$1:N13)+1,0)</f>
        <v>13</v>
      </c>
      <c r="O14" s="115">
        <f>IF(ISNUMBER(SEARCH('Карта учёта'!$B$23,Расходка[[#This Row],[Наименование расходного материала]])),MAX($O$1:O13)+1,0)</f>
        <v>13</v>
      </c>
      <c r="P14" s="115">
        <f>IF(ISNUMBER(SEARCH('Карта учёта'!$B$24,Расходка[[#This Row],[Наименование расходного материала]])),MAX($P$1:P13)+1,0)</f>
        <v>13</v>
      </c>
      <c r="Q14" s="115">
        <f>IF(ISNUMBER(SEARCH('Карта учёта'!$B$25,Расходка[[#This Row],[Наименование расходного материала]])),MAX($Q$1:Q13)+1,0)</f>
        <v>13</v>
      </c>
      <c r="R14" s="114" t="str">
        <f>IFERROR(INDEX(Расходка[Наименование расходного материала],MATCH(Расходка[[#This Row],[№]],Поиск_расходки[Индекс1],0)),"")</f>
        <v/>
      </c>
      <c r="S14" s="114" t="str">
        <f>IFERROR(INDEX(Расходка[Наименование расходного материала],MATCH(Расходка[[#This Row],[№]],Поиск_расходки[Индекс2],0)),"")</f>
        <v/>
      </c>
      <c r="T14" s="114" t="str">
        <f>IFERROR(INDEX(Расходка[Наименование расходного материала],MATCH(Расходка[[#This Row],[№]],Поиск_расходки[Индекс3],0)),"")</f>
        <v>Apollo</v>
      </c>
      <c r="U14" s="114" t="str">
        <f>IFERROR(INDEX(Расходка[Наименование расходного материала],MATCH(Расходка[[#This Row],[№]],Поиск_расходки[Индекс4],0)),"")</f>
        <v>Apollo</v>
      </c>
      <c r="V14" s="114" t="str">
        <f>IFERROR(INDEX(Расходка[Наименование расходного материала],MATCH(Расходка[[#This Row],[№]],Поиск_расходки[Индекс5],0)),"")</f>
        <v>Apollo</v>
      </c>
      <c r="W14" s="114" t="str">
        <f>IFERROR(INDEX(Расходка[Наименование расходного материала],MATCH(Расходка[[#This Row],[№]],Поиск_расходки[Индекс6],0)),"")</f>
        <v>Apollo</v>
      </c>
      <c r="X14" s="114" t="str">
        <f>IFERROR(INDEX(Расходка[Наименование расходного материала],MATCH(Расходка[[#This Row],[№]],Поиск_расходки[Индекс7],0)),"")</f>
        <v>Apollo</v>
      </c>
      <c r="Y14" s="114" t="str">
        <f>IFERROR(INDEX(Расходка[Наименование расходного материала],MATCH(Расходка[[#This Row],[№]],Поиск_расходки[Индекс8],0)),"")</f>
        <v>Apollo</v>
      </c>
      <c r="Z14" s="114" t="str">
        <f>IFERROR(INDEX(Расходка[Наименование расходного материала],MATCH(Расходка[[#This Row],[№]],Поиск_расходки[Индекс9],0)),"")</f>
        <v>Apollo</v>
      </c>
      <c r="AA14" s="114" t="str">
        <f>IFERROR(INDEX(Расходка[Наименование расходного материала],MATCH(Расходка[[#This Row],[№]],Поиск_расходки[Индекс10],0)),"")</f>
        <v>Apollo</v>
      </c>
      <c r="AB14" s="114" t="str">
        <f>IFERROR(INDEX(Расходка[Наименование расходного материала],MATCH(Расходка[[#This Row],[№]],Поиск_расходки[Индекс11],0)),"")</f>
        <v>Apollo</v>
      </c>
      <c r="AC14" s="114" t="str">
        <f>IFERROR(INDEX(Расходка[Наименование расходного материала],MATCH(Расходка[[#This Row],[№]],Поиск_расходки[Индекс12],0)),"")</f>
        <v>Apollo</v>
      </c>
      <c r="AD14" s="114" t="str">
        <f>IFERROR(INDEX(Расходка[Наименование расходного материала],MATCH(Расходка[[#This Row],[№]],Поиск_расходки[Индекс13],0)),"")</f>
        <v>Apollo</v>
      </c>
      <c r="AF14" s="4" t="s">
        <v>5</v>
      </c>
      <c r="AG14" s="4" t="s">
        <v>490</v>
      </c>
      <c r="AI14" t="s">
        <v>5</v>
      </c>
      <c r="AM14" s="188"/>
      <c r="AN14" s="2"/>
    </row>
    <row r="15" spans="1:42">
      <c r="A15">
        <f>ROW(Расходка[[#This Row],[Тип расходного материала ]])-1</f>
        <v>14</v>
      </c>
      <c r="B15" t="s">
        <v>307</v>
      </c>
      <c r="C15" s="1" t="s">
        <v>332</v>
      </c>
      <c r="E15" s="115">
        <f>IF(ISNUMBER(SEARCH('Карта учёта'!$B$13,Расходка[[#This Row],[Наименование расходного материала]])),MAX($E$1:E14)+1,0)</f>
        <v>0</v>
      </c>
      <c r="F15" s="115">
        <f>IF(ISNUMBER(SEARCH('Карта учёта'!$B$14,Расходка[[#This Row],[Наименование расходного материала]])),MAX($F$1:F14)+1,0)</f>
        <v>0</v>
      </c>
      <c r="G15" s="115">
        <f>IF(ISNUMBER(SEARCH('Карта учёта'!$B$15,Расходка[[#This Row],[Наименование расходного материала]])),MAX($G$1:G14)+1,0)</f>
        <v>14</v>
      </c>
      <c r="H15" s="115">
        <f>IF(ISNUMBER(SEARCH('Карта учёта'!$B$16,Расходка[[#This Row],[Наименование расходного материала]])),MAX($H$1:H14)+1,0)</f>
        <v>14</v>
      </c>
      <c r="I15" s="115">
        <f>IF(ISNUMBER(SEARCH('Карта учёта'!$B$17,Расходка[[#This Row],[Наименование расходного материала]])),MAX($I$1:I14)+1,0)</f>
        <v>14</v>
      </c>
      <c r="J15" s="115">
        <f>IF(ISNUMBER(SEARCH('Карта учёта'!$B$18,Расходка[[#This Row],[Наименование расходного материала]])),MAX($J$1:J14)+1,0)</f>
        <v>14</v>
      </c>
      <c r="K15" s="115">
        <f>IF(ISNUMBER(SEARCH('Карта учёта'!$B$19,Расходка[[#This Row],[Наименование расходного материала]])),MAX($K$1:K14)+1,0)</f>
        <v>14</v>
      </c>
      <c r="L15" s="115">
        <f>IF(ISNUMBER(SEARCH('Карта учёта'!$B$20,Расходка[[#This Row],[Наименование расходного материала]])),MAX($L$1:L14)+1,0)</f>
        <v>14</v>
      </c>
      <c r="M15" s="115">
        <f>IF(ISNUMBER(SEARCH('Карта учёта'!$B$21,Расходка[[#This Row],[Наименование расходного материала]])),MAX($M$1:M14)+1,0)</f>
        <v>14</v>
      </c>
      <c r="N15" s="115">
        <f>IF(ISNUMBER(SEARCH('Карта учёта'!$B$22,Расходка[[#This Row],[Наименование расходного материала]])),MAX($N$1:N14)+1,0)</f>
        <v>14</v>
      </c>
      <c r="O15" s="115">
        <f>IF(ISNUMBER(SEARCH('Карта учёта'!$B$23,Расходка[[#This Row],[Наименование расходного материала]])),MAX($O$1:O14)+1,0)</f>
        <v>14</v>
      </c>
      <c r="P15" s="115">
        <f>IF(ISNUMBER(SEARCH('Карта учёта'!$B$24,Расходка[[#This Row],[Наименование расходного материала]])),MAX($P$1:P14)+1,0)</f>
        <v>14</v>
      </c>
      <c r="Q15" s="115">
        <f>IF(ISNUMBER(SEARCH('Карта учёта'!$B$25,Расходка[[#This Row],[Наименование расходного материала]])),MAX($Q$1:Q14)+1,0)</f>
        <v>14</v>
      </c>
      <c r="R15" s="114" t="str">
        <f>IFERROR(INDEX(Расходка[Наименование расходного материала],MATCH(Расходка[[#This Row],[№]],Поиск_расходки[Индекс1],0)),"")</f>
        <v/>
      </c>
      <c r="S15" s="114" t="str">
        <f>IFERROR(INDEX(Расходка[Наименование расходного материала],MATCH(Расходка[[#This Row],[№]],Поиск_расходки[Индекс2],0)),"")</f>
        <v/>
      </c>
      <c r="T15" s="114" t="str">
        <f>IFERROR(INDEX(Расходка[Наименование расходного материала],MATCH(Расходка[[#This Row],[№]],Поиск_расходки[Индекс3],0)),"")</f>
        <v>Nitrex 260</v>
      </c>
      <c r="U15" s="114" t="str">
        <f>IFERROR(INDEX(Расходка[Наименование расходного материала],MATCH(Расходка[[#This Row],[№]],Поиск_расходки[Индекс4],0)),"")</f>
        <v>Nitrex 260</v>
      </c>
      <c r="V15" s="114" t="str">
        <f>IFERROR(INDEX(Расходка[Наименование расходного материала],MATCH(Расходка[[#This Row],[№]],Поиск_расходки[Индекс5],0)),"")</f>
        <v>Nitrex 260</v>
      </c>
      <c r="W15" s="114" t="str">
        <f>IFERROR(INDEX(Расходка[Наименование расходного материала],MATCH(Расходка[[#This Row],[№]],Поиск_расходки[Индекс6],0)),"")</f>
        <v>Nitrex 260</v>
      </c>
      <c r="X15" s="114" t="str">
        <f>IFERROR(INDEX(Расходка[Наименование расходного материала],MATCH(Расходка[[#This Row],[№]],Поиск_расходки[Индекс7],0)),"")</f>
        <v>Nitrex 260</v>
      </c>
      <c r="Y15" s="114" t="str">
        <f>IFERROR(INDEX(Расходка[Наименование расходного материала],MATCH(Расходка[[#This Row],[№]],Поиск_расходки[Индекс8],0)),"")</f>
        <v>Nitrex 260</v>
      </c>
      <c r="Z15" s="114" t="str">
        <f>IFERROR(INDEX(Расходка[Наименование расходного материала],MATCH(Расходка[[#This Row],[№]],Поиск_расходки[Индекс9],0)),"")</f>
        <v>Nitrex 260</v>
      </c>
      <c r="AA15" s="114" t="str">
        <f>IFERROR(INDEX(Расходка[Наименование расходного материала],MATCH(Расходка[[#This Row],[№]],Поиск_расходки[Индекс10],0)),"")</f>
        <v>Nitrex 260</v>
      </c>
      <c r="AB15" s="114" t="str">
        <f>IFERROR(INDEX(Расходка[Наименование расходного материала],MATCH(Расходка[[#This Row],[№]],Поиск_расходки[Индекс11],0)),"")</f>
        <v>Nitrex 260</v>
      </c>
      <c r="AC15" s="114" t="str">
        <f>IFERROR(INDEX(Расходка[Наименование расходного материала],MATCH(Расходка[[#This Row],[№]],Поиск_расходки[Индекс12],0)),"")</f>
        <v>Nitrex 260</v>
      </c>
      <c r="AD15" s="114" t="str">
        <f>IFERROR(INDEX(Расходка[Наименование расходного материала],MATCH(Расходка[[#This Row],[№]],Поиск_расходки[Индекс13],0)),"")</f>
        <v>Nitrex 260</v>
      </c>
      <c r="AF15" s="4" t="s">
        <v>5</v>
      </c>
      <c r="AG15" s="4" t="s">
        <v>412</v>
      </c>
      <c r="AI15" t="s">
        <v>94</v>
      </c>
    </row>
    <row r="16" spans="1:42">
      <c r="A16">
        <f>ROW(Расходка[[#This Row],[Тип расходного материала ]])-1</f>
        <v>15</v>
      </c>
      <c r="B16" t="s">
        <v>307</v>
      </c>
      <c r="C16" t="s">
        <v>364</v>
      </c>
      <c r="E16" s="115">
        <f>IF(ISNUMBER(SEARCH('Карта учёта'!$B$13,Расходка[[#This Row],[Наименование расходного материала]])),MAX($E$1:E15)+1,0)</f>
        <v>0</v>
      </c>
      <c r="F16" s="115">
        <f>IF(ISNUMBER(SEARCH('Карта учёта'!$B$14,Расходка[[#This Row],[Наименование расходного материала]])),MAX($F$1:F15)+1,0)</f>
        <v>0</v>
      </c>
      <c r="G16" s="115">
        <f>IF(ISNUMBER(SEARCH('Карта учёта'!$B$15,Расходка[[#This Row],[Наименование расходного материала]])),MAX($G$1:G15)+1,0)</f>
        <v>15</v>
      </c>
      <c r="H16" s="115">
        <f>IF(ISNUMBER(SEARCH('Карта учёта'!$B$16,Расходка[[#This Row],[Наименование расходного материала]])),MAX($H$1:H15)+1,0)</f>
        <v>15</v>
      </c>
      <c r="I16" s="115">
        <f>IF(ISNUMBER(SEARCH('Карта учёта'!$B$17,Расходка[[#This Row],[Наименование расходного материала]])),MAX($I$1:I15)+1,0)</f>
        <v>15</v>
      </c>
      <c r="J16" s="115">
        <f>IF(ISNUMBER(SEARCH('Карта учёта'!$B$18,Расходка[[#This Row],[Наименование расходного материала]])),MAX($J$1:J15)+1,0)</f>
        <v>15</v>
      </c>
      <c r="K16" s="115">
        <f>IF(ISNUMBER(SEARCH('Карта учёта'!$B$19,Расходка[[#This Row],[Наименование расходного материала]])),MAX($K$1:K15)+1,0)</f>
        <v>15</v>
      </c>
      <c r="L16" s="115">
        <f>IF(ISNUMBER(SEARCH('Карта учёта'!$B$20,Расходка[[#This Row],[Наименование расходного материала]])),MAX($L$1:L15)+1,0)</f>
        <v>15</v>
      </c>
      <c r="M16" s="115">
        <f>IF(ISNUMBER(SEARCH('Карта учёта'!$B$21,Расходка[[#This Row],[Наименование расходного материала]])),MAX($M$1:M15)+1,0)</f>
        <v>15</v>
      </c>
      <c r="N16" s="115">
        <f>IF(ISNUMBER(SEARCH('Карта учёта'!$B$22,Расходка[[#This Row],[Наименование расходного материала]])),MAX($N$1:N15)+1,0)</f>
        <v>15</v>
      </c>
      <c r="O16" s="115">
        <f>IF(ISNUMBER(SEARCH('Карта учёта'!$B$23,Расходка[[#This Row],[Наименование расходного материала]])),MAX($O$1:O15)+1,0)</f>
        <v>15</v>
      </c>
      <c r="P16" s="115">
        <f>IF(ISNUMBER(SEARCH('Карта учёта'!$B$24,Расходка[[#This Row],[Наименование расходного материала]])),MAX($P$1:P15)+1,0)</f>
        <v>15</v>
      </c>
      <c r="Q16" s="115">
        <f>IF(ISNUMBER(SEARCH('Карта учёта'!$B$25,Расходка[[#This Row],[Наименование расходного материала]])),MAX($Q$1:Q15)+1,0)</f>
        <v>15</v>
      </c>
      <c r="R16" s="114" t="str">
        <f>IFERROR(INDEX(Расходка[Наименование расходного материала],MATCH(Расходка[[#This Row],[№]],Поиск_расходки[Индекс1],0)),"")</f>
        <v/>
      </c>
      <c r="S16" s="114" t="str">
        <f>IFERROR(INDEX(Расходка[Наименование расходного материала],MATCH(Расходка[[#This Row],[№]],Поиск_расходки[Индекс2],0)),"")</f>
        <v/>
      </c>
      <c r="T16" s="114" t="str">
        <f>IFERROR(INDEX(Расходка[Наименование расходного материала],MATCH(Расходка[[#This Row],[№]],Поиск_расходки[Индекс3],0)),"")</f>
        <v>RadiFocus</v>
      </c>
      <c r="U16" s="114" t="str">
        <f>IFERROR(INDEX(Расходка[Наименование расходного материала],MATCH(Расходка[[#This Row],[№]],Поиск_расходки[Индекс4],0)),"")</f>
        <v>RadiFocus</v>
      </c>
      <c r="V16" s="114" t="str">
        <f>IFERROR(INDEX(Расходка[Наименование расходного материала],MATCH(Расходка[[#This Row],[№]],Поиск_расходки[Индекс5],0)),"")</f>
        <v>RadiFocus</v>
      </c>
      <c r="W16" s="114" t="str">
        <f>IFERROR(INDEX(Расходка[Наименование расходного материала],MATCH(Расходка[[#This Row],[№]],Поиск_расходки[Индекс6],0)),"")</f>
        <v>RadiFocus</v>
      </c>
      <c r="X16" s="114" t="str">
        <f>IFERROR(INDEX(Расходка[Наименование расходного материала],MATCH(Расходка[[#This Row],[№]],Поиск_расходки[Индекс7],0)),"")</f>
        <v>RadiFocus</v>
      </c>
      <c r="Y16" s="114" t="str">
        <f>IFERROR(INDEX(Расходка[Наименование расходного материала],MATCH(Расходка[[#This Row],[№]],Поиск_расходки[Индекс8],0)),"")</f>
        <v>RadiFocus</v>
      </c>
      <c r="Z16" s="114" t="str">
        <f>IFERROR(INDEX(Расходка[Наименование расходного материала],MATCH(Расходка[[#This Row],[№]],Поиск_расходки[Индекс9],0)),"")</f>
        <v>RadiFocus</v>
      </c>
      <c r="AA16" s="114" t="str">
        <f>IFERROR(INDEX(Расходка[Наименование расходного материала],MATCH(Расходка[[#This Row],[№]],Поиск_расходки[Индекс10],0)),"")</f>
        <v>RadiFocus</v>
      </c>
      <c r="AB16" s="114" t="str">
        <f>IFERROR(INDEX(Расходка[Наименование расходного материала],MATCH(Расходка[[#This Row],[№]],Поиск_расходки[Индекс11],0)),"")</f>
        <v>RadiFocus</v>
      </c>
      <c r="AC16" s="114" t="str">
        <f>IFERROR(INDEX(Расходка[Наименование расходного материала],MATCH(Расходка[[#This Row],[№]],Поиск_расходки[Индекс12],0)),"")</f>
        <v>RadiFocus</v>
      </c>
      <c r="AD16" s="114" t="str">
        <f>IFERROR(INDEX(Расходка[Наименование расходного материала],MATCH(Расходка[[#This Row],[№]],Поиск_расходки[Индекс13],0)),"")</f>
        <v>RadiFocus</v>
      </c>
      <c r="AF16" s="4" t="s">
        <v>5</v>
      </c>
      <c r="AG16" s="4" t="s">
        <v>413</v>
      </c>
      <c r="AI16" t="s">
        <v>305</v>
      </c>
    </row>
    <row r="17" spans="1:35">
      <c r="A17">
        <f>ROW(Расходка[[#This Row],[Тип расходного материала ]])-1</f>
        <v>16</v>
      </c>
      <c r="B17" t="s">
        <v>305</v>
      </c>
      <c r="C17" t="s">
        <v>331</v>
      </c>
      <c r="E17" s="115">
        <f>IF(ISNUMBER(SEARCH('Карта учёта'!$B$13,Расходка[[#This Row],[Наименование расходного материала]])),MAX($E$1:E16)+1,0)</f>
        <v>0</v>
      </c>
      <c r="F17" s="115">
        <f>IF(ISNUMBER(SEARCH('Карта учёта'!$B$14,Расходка[[#This Row],[Наименование расходного материала]])),MAX($F$1:F16)+1,0)</f>
        <v>0</v>
      </c>
      <c r="G17" s="115">
        <f>IF(ISNUMBER(SEARCH('Карта учёта'!$B$15,Расходка[[#This Row],[Наименование расходного материала]])),MAX($G$1:G16)+1,0)</f>
        <v>16</v>
      </c>
      <c r="H17" s="115">
        <f>IF(ISNUMBER(SEARCH('Карта учёта'!$B$16,Расходка[[#This Row],[Наименование расходного материала]])),MAX($H$1:H16)+1,0)</f>
        <v>16</v>
      </c>
      <c r="I17" s="115">
        <f>IF(ISNUMBER(SEARCH('Карта учёта'!$B$17,Расходка[[#This Row],[Наименование расходного материала]])),MAX($I$1:I16)+1,0)</f>
        <v>16</v>
      </c>
      <c r="J17" s="115">
        <f>IF(ISNUMBER(SEARCH('Карта учёта'!$B$18,Расходка[[#This Row],[Наименование расходного материала]])),MAX($J$1:J16)+1,0)</f>
        <v>16</v>
      </c>
      <c r="K17" s="115">
        <f>IF(ISNUMBER(SEARCH('Карта учёта'!$B$19,Расходка[[#This Row],[Наименование расходного материала]])),MAX($K$1:K16)+1,0)</f>
        <v>16</v>
      </c>
      <c r="L17" s="115">
        <f>IF(ISNUMBER(SEARCH('Карта учёта'!$B$20,Расходка[[#This Row],[Наименование расходного материала]])),MAX($L$1:L16)+1,0)</f>
        <v>16</v>
      </c>
      <c r="M17" s="115">
        <f>IF(ISNUMBER(SEARCH('Карта учёта'!$B$21,Расходка[[#This Row],[Наименование расходного материала]])),MAX($M$1:M16)+1,0)</f>
        <v>16</v>
      </c>
      <c r="N17" s="115">
        <f>IF(ISNUMBER(SEARCH('Карта учёта'!$B$22,Расходка[[#This Row],[Наименование расходного материала]])),MAX($N$1:N16)+1,0)</f>
        <v>16</v>
      </c>
      <c r="O17" s="115">
        <f>IF(ISNUMBER(SEARCH('Карта учёта'!$B$23,Расходка[[#This Row],[Наименование расходного материала]])),MAX($O$1:O16)+1,0)</f>
        <v>16</v>
      </c>
      <c r="P17" s="115">
        <f>IF(ISNUMBER(SEARCH('Карта учёта'!$B$24,Расходка[[#This Row],[Наименование расходного материала]])),MAX($P$1:P16)+1,0)</f>
        <v>16</v>
      </c>
      <c r="Q17" s="115">
        <f>IF(ISNUMBER(SEARCH('Карта учёта'!$B$25,Расходка[[#This Row],[Наименование расходного материала]])),MAX($Q$1:Q16)+1,0)</f>
        <v>16</v>
      </c>
      <c r="R17" s="114" t="str">
        <f>IFERROR(INDEX(Расходка[Наименование расходного материала],MATCH(Расходка[[#This Row],[№]],Поиск_расходки[Индекс1],0)),"")</f>
        <v/>
      </c>
      <c r="S17" s="114" t="str">
        <f>IFERROR(INDEX(Расходка[Наименование расходного материала],MATCH(Расходка[[#This Row],[№]],Поиск_расходки[Индекс2],0)),"")</f>
        <v/>
      </c>
      <c r="T17" s="114" t="str">
        <f>IFERROR(INDEX(Расходка[Наименование расходного материала],MATCH(Расходка[[#This Row],[№]],Поиск_расходки[Индекс3],0)),"")</f>
        <v>BasixCOMPAK</v>
      </c>
      <c r="U17" s="114" t="str">
        <f>IFERROR(INDEX(Расходка[Наименование расходного материала],MATCH(Расходка[[#This Row],[№]],Поиск_расходки[Индекс4],0)),"")</f>
        <v>BasixCOMPAK</v>
      </c>
      <c r="V17" s="114" t="str">
        <f>IFERROR(INDEX(Расходка[Наименование расходного материала],MATCH(Расходка[[#This Row],[№]],Поиск_расходки[Индекс5],0)),"")</f>
        <v>BasixCOMPAK</v>
      </c>
      <c r="W17" s="114" t="str">
        <f>IFERROR(INDEX(Расходка[Наименование расходного материала],MATCH(Расходка[[#This Row],[№]],Поиск_расходки[Индекс6],0)),"")</f>
        <v>BasixCOMPAK</v>
      </c>
      <c r="X17" s="114" t="str">
        <f>IFERROR(INDEX(Расходка[Наименование расходного материала],MATCH(Расходка[[#This Row],[№]],Поиск_расходки[Индекс7],0)),"")</f>
        <v>BasixCOMPAK</v>
      </c>
      <c r="Y17" s="114" t="str">
        <f>IFERROR(INDEX(Расходка[Наименование расходного материала],MATCH(Расходка[[#This Row],[№]],Поиск_расходки[Индекс8],0)),"")</f>
        <v>BasixCOMPAK</v>
      </c>
      <c r="Z17" s="114" t="str">
        <f>IFERROR(INDEX(Расходка[Наименование расходного материала],MATCH(Расходка[[#This Row],[№]],Поиск_расходки[Индекс9],0)),"")</f>
        <v>BasixCOMPAK</v>
      </c>
      <c r="AA17" s="114" t="str">
        <f>IFERROR(INDEX(Расходка[Наименование расходного материала],MATCH(Расходка[[#This Row],[№]],Поиск_расходки[Индекс10],0)),"")</f>
        <v>BasixCOMPAK</v>
      </c>
      <c r="AB17" s="114" t="str">
        <f>IFERROR(INDEX(Расходка[Наименование расходного материала],MATCH(Расходка[[#This Row],[№]],Поиск_расходки[Индекс11],0)),"")</f>
        <v>BasixCOMPAK</v>
      </c>
      <c r="AC17" s="114" t="str">
        <f>IFERROR(INDEX(Расходка[Наименование расходного материала],MATCH(Расходка[[#This Row],[№]],Поиск_расходки[Индекс12],0)),"")</f>
        <v>BasixCOMPAK</v>
      </c>
      <c r="AD17" s="114" t="str">
        <f>IFERROR(INDEX(Расходка[Наименование расходного материала],MATCH(Расходка[[#This Row],[№]],Поиск_расходки[Индекс13],0)),"")</f>
        <v>BasixCOMPAK</v>
      </c>
      <c r="AF17" s="4" t="s">
        <v>5</v>
      </c>
      <c r="AG17" s="4" t="s">
        <v>414</v>
      </c>
      <c r="AI17" t="s">
        <v>206</v>
      </c>
    </row>
    <row r="18" spans="1:35">
      <c r="A18">
        <f>ROW(Расходка[[#This Row],[Тип расходного материала ]])-1</f>
        <v>17</v>
      </c>
      <c r="B18" t="s">
        <v>305</v>
      </c>
      <c r="C18" t="s">
        <v>361</v>
      </c>
      <c r="D18" s="1"/>
      <c r="E18" s="115">
        <f>IF(ISNUMBER(SEARCH('Карта учёта'!$B$13,Расходка[[#This Row],[Наименование расходного материала]])),MAX($E$1:E17)+1,0)</f>
        <v>0</v>
      </c>
      <c r="F18" s="115">
        <f>IF(ISNUMBER(SEARCH('Карта учёта'!$B$14,Расходка[[#This Row],[Наименование расходного материала]])),MAX($F$1:F17)+1,0)</f>
        <v>0</v>
      </c>
      <c r="G18" s="115">
        <f>IF(ISNUMBER(SEARCH('Карта учёта'!$B$15,Расходка[[#This Row],[Наименование расходного материала]])),MAX($G$1:G17)+1,0)</f>
        <v>17</v>
      </c>
      <c r="H18" s="115">
        <f>IF(ISNUMBER(SEARCH('Карта учёта'!$B$16,Расходка[[#This Row],[Наименование расходного материала]])),MAX($H$1:H17)+1,0)</f>
        <v>17</v>
      </c>
      <c r="I18" s="115">
        <f>IF(ISNUMBER(SEARCH('Карта учёта'!$B$17,Расходка[[#This Row],[Наименование расходного материала]])),MAX($I$1:I17)+1,0)</f>
        <v>17</v>
      </c>
      <c r="J18" s="115">
        <f>IF(ISNUMBER(SEARCH('Карта учёта'!$B$18,Расходка[[#This Row],[Наименование расходного материала]])),MAX($J$1:J17)+1,0)</f>
        <v>17</v>
      </c>
      <c r="K18" s="115">
        <f>IF(ISNUMBER(SEARCH('Карта учёта'!$B$19,Расходка[[#This Row],[Наименование расходного материала]])),MAX($K$1:K17)+1,0)</f>
        <v>17</v>
      </c>
      <c r="L18" s="115">
        <f>IF(ISNUMBER(SEARCH('Карта учёта'!$B$20,Расходка[[#This Row],[Наименование расходного материала]])),MAX($L$1:L17)+1,0)</f>
        <v>17</v>
      </c>
      <c r="M18" s="115">
        <f>IF(ISNUMBER(SEARCH('Карта учёта'!$B$21,Расходка[[#This Row],[Наименование расходного материала]])),MAX($M$1:M17)+1,0)</f>
        <v>17</v>
      </c>
      <c r="N18" s="115">
        <f>IF(ISNUMBER(SEARCH('Карта учёта'!$B$22,Расходка[[#This Row],[Наименование расходного материала]])),MAX($N$1:N17)+1,0)</f>
        <v>17</v>
      </c>
      <c r="O18" s="115">
        <f>IF(ISNUMBER(SEARCH('Карта учёта'!$B$23,Расходка[[#This Row],[Наименование расходного материала]])),MAX($O$1:O17)+1,0)</f>
        <v>17</v>
      </c>
      <c r="P18" s="115">
        <f>IF(ISNUMBER(SEARCH('Карта учёта'!$B$24,Расходка[[#This Row],[Наименование расходного материала]])),MAX($P$1:P17)+1,0)</f>
        <v>17</v>
      </c>
      <c r="Q18" s="115">
        <f>IF(ISNUMBER(SEARCH('Карта учёта'!$B$25,Расходка[[#This Row],[Наименование расходного материала]])),MAX($Q$1:Q17)+1,0)</f>
        <v>17</v>
      </c>
      <c r="R18" s="114" t="str">
        <f>IFERROR(INDEX(Расходка[Наименование расходного материала],MATCH(Расходка[[#This Row],[№]],Поиск_расходки[Индекс1],0)),"")</f>
        <v/>
      </c>
      <c r="S18" s="114" t="str">
        <f>IFERROR(INDEX(Расходка[Наименование расходного материала],MATCH(Расходка[[#This Row],[№]],Поиск_расходки[Индекс2],0)),"")</f>
        <v/>
      </c>
      <c r="T18" s="114" t="str">
        <f>IFERROR(INDEX(Расходка[Наименование расходного материала],MATCH(Расходка[[#This Row],[№]],Поиск_расходки[Индекс3],0)),"")</f>
        <v>BasixTOUCH</v>
      </c>
      <c r="U18" s="114" t="str">
        <f>IFERROR(INDEX(Расходка[Наименование расходного материала],MATCH(Расходка[[#This Row],[№]],Поиск_расходки[Индекс4],0)),"")</f>
        <v>BasixTOUCH</v>
      </c>
      <c r="V18" s="114" t="str">
        <f>IFERROR(INDEX(Расходка[Наименование расходного материала],MATCH(Расходка[[#This Row],[№]],Поиск_расходки[Индекс5],0)),"")</f>
        <v>BasixTOUCH</v>
      </c>
      <c r="W18" s="114" t="str">
        <f>IFERROR(INDEX(Расходка[Наименование расходного материала],MATCH(Расходка[[#This Row],[№]],Поиск_расходки[Индекс6],0)),"")</f>
        <v>BasixTOUCH</v>
      </c>
      <c r="X18" s="114" t="str">
        <f>IFERROR(INDEX(Расходка[Наименование расходного материала],MATCH(Расходка[[#This Row],[№]],Поиск_расходки[Индекс7],0)),"")</f>
        <v>BasixTOUCH</v>
      </c>
      <c r="Y18" s="114" t="str">
        <f>IFERROR(INDEX(Расходка[Наименование расходного материала],MATCH(Расходка[[#This Row],[№]],Поиск_расходки[Индекс8],0)),"")</f>
        <v>BasixTOUCH</v>
      </c>
      <c r="Z18" s="114" t="str">
        <f>IFERROR(INDEX(Расходка[Наименование расходного материала],MATCH(Расходка[[#This Row],[№]],Поиск_расходки[Индекс9],0)),"")</f>
        <v>BasixTOUCH</v>
      </c>
      <c r="AA18" s="114" t="str">
        <f>IFERROR(INDEX(Расходка[Наименование расходного материала],MATCH(Расходка[[#This Row],[№]],Поиск_расходки[Индекс10],0)),"")</f>
        <v>BasixTOUCH</v>
      </c>
      <c r="AB18" s="114" t="str">
        <f>IFERROR(INDEX(Расходка[Наименование расходного материала],MATCH(Расходка[[#This Row],[№]],Поиск_расходки[Индекс11],0)),"")</f>
        <v>BasixTOUCH</v>
      </c>
      <c r="AC18" s="114" t="str">
        <f>IFERROR(INDEX(Расходка[Наименование расходного материала],MATCH(Расходка[[#This Row],[№]],Поиск_расходки[Индекс12],0)),"")</f>
        <v>BasixTOUCH</v>
      </c>
      <c r="AD18" s="114" t="str">
        <f>IFERROR(INDEX(Расходка[Наименование расходного материала],MATCH(Расходка[[#This Row],[№]],Поиск_расходки[Индекс13],0)),"")</f>
        <v>BasixTOUCH</v>
      </c>
      <c r="AF18" s="4" t="s">
        <v>5</v>
      </c>
      <c r="AG18" s="4" t="s">
        <v>415</v>
      </c>
      <c r="AI18" t="s">
        <v>95</v>
      </c>
    </row>
    <row r="19" spans="1:35">
      <c r="A19">
        <f>ROW(Расходка[[#This Row],[Тип расходного материала ]])-1</f>
        <v>18</v>
      </c>
      <c r="B19" t="s">
        <v>305</v>
      </c>
      <c r="C19" t="s">
        <v>353</v>
      </c>
      <c r="E19" s="115">
        <f>IF(ISNUMBER(SEARCH('Карта учёта'!$B$13,Расходка[[#This Row],[Наименование расходного материала]])),MAX($E$1:E18)+1,0)</f>
        <v>0</v>
      </c>
      <c r="F19" s="115">
        <f>IF(ISNUMBER(SEARCH('Карта учёта'!$B$14,Расходка[[#This Row],[Наименование расходного материала]])),MAX($F$1:F18)+1,0)</f>
        <v>0</v>
      </c>
      <c r="G19" s="115">
        <f>IF(ISNUMBER(SEARCH('Карта учёта'!$B$15,Расходка[[#This Row],[Наименование расходного материала]])),MAX($G$1:G18)+1,0)</f>
        <v>18</v>
      </c>
      <c r="H19" s="115">
        <f>IF(ISNUMBER(SEARCH('Карта учёта'!$B$16,Расходка[[#This Row],[Наименование расходного материала]])),MAX($H$1:H18)+1,0)</f>
        <v>18</v>
      </c>
      <c r="I19" s="115">
        <f>IF(ISNUMBER(SEARCH('Карта учёта'!$B$17,Расходка[[#This Row],[Наименование расходного материала]])),MAX($I$1:I18)+1,0)</f>
        <v>18</v>
      </c>
      <c r="J19" s="115">
        <f>IF(ISNUMBER(SEARCH('Карта учёта'!$B$18,Расходка[[#This Row],[Наименование расходного материала]])),MAX($J$1:J18)+1,0)</f>
        <v>18</v>
      </c>
      <c r="K19" s="115">
        <f>IF(ISNUMBER(SEARCH('Карта учёта'!$B$19,Расходка[[#This Row],[Наименование расходного материала]])),MAX($K$1:K18)+1,0)</f>
        <v>18</v>
      </c>
      <c r="L19" s="115">
        <f>IF(ISNUMBER(SEARCH('Карта учёта'!$B$20,Расходка[[#This Row],[Наименование расходного материала]])),MAX($L$1:L18)+1,0)</f>
        <v>18</v>
      </c>
      <c r="M19" s="115">
        <f>IF(ISNUMBER(SEARCH('Карта учёта'!$B$21,Расходка[[#This Row],[Наименование расходного материала]])),MAX($M$1:M18)+1,0)</f>
        <v>18</v>
      </c>
      <c r="N19" s="115">
        <f>IF(ISNUMBER(SEARCH('Карта учёта'!$B$22,Расходка[[#This Row],[Наименование расходного материала]])),MAX($N$1:N18)+1,0)</f>
        <v>18</v>
      </c>
      <c r="O19" s="115">
        <f>IF(ISNUMBER(SEARCH('Карта учёта'!$B$23,Расходка[[#This Row],[Наименование расходного материала]])),MAX($O$1:O18)+1,0)</f>
        <v>18</v>
      </c>
      <c r="P19" s="115">
        <f>IF(ISNUMBER(SEARCH('Карта учёта'!$B$24,Расходка[[#This Row],[Наименование расходного материала]])),MAX($P$1:P18)+1,0)</f>
        <v>18</v>
      </c>
      <c r="Q19" s="115">
        <f>IF(ISNUMBER(SEARCH('Карта учёта'!$B$25,Расходка[[#This Row],[Наименование расходного материала]])),MAX($Q$1:Q18)+1,0)</f>
        <v>18</v>
      </c>
      <c r="R19" s="114" t="str">
        <f>IFERROR(INDEX(Расходка[Наименование расходного материала],MATCH(Расходка[[#This Row],[№]],Поиск_расходки[Индекс1],0)),"")</f>
        <v/>
      </c>
      <c r="S19" s="114" t="str">
        <f>IFERROR(INDEX(Расходка[Наименование расходного материала],MATCH(Расходка[[#This Row],[№]],Поиск_расходки[Индекс2],0)),"")</f>
        <v/>
      </c>
      <c r="T19" s="114" t="str">
        <f>IFERROR(INDEX(Расходка[Наименование расходного материала],MATCH(Расходка[[#This Row],[№]],Поиск_расходки[Индекс3],0)),"")</f>
        <v>Dolphin</v>
      </c>
      <c r="U19" s="114" t="str">
        <f>IFERROR(INDEX(Расходка[Наименование расходного материала],MATCH(Расходка[[#This Row],[№]],Поиск_расходки[Индекс4],0)),"")</f>
        <v>Dolphin</v>
      </c>
      <c r="V19" s="114" t="str">
        <f>IFERROR(INDEX(Расходка[Наименование расходного материала],MATCH(Расходка[[#This Row],[№]],Поиск_расходки[Индекс5],0)),"")</f>
        <v>Dolphin</v>
      </c>
      <c r="W19" s="114" t="str">
        <f>IFERROR(INDEX(Расходка[Наименование расходного материала],MATCH(Расходка[[#This Row],[№]],Поиск_расходки[Индекс6],0)),"")</f>
        <v>Dolphin</v>
      </c>
      <c r="X19" s="114" t="str">
        <f>IFERROR(INDEX(Расходка[Наименование расходного материала],MATCH(Расходка[[#This Row],[№]],Поиск_расходки[Индекс7],0)),"")</f>
        <v>Dolphin</v>
      </c>
      <c r="Y19" s="114" t="str">
        <f>IFERROR(INDEX(Расходка[Наименование расходного материала],MATCH(Расходка[[#This Row],[№]],Поиск_расходки[Индекс8],0)),"")</f>
        <v>Dolphin</v>
      </c>
      <c r="Z19" s="114" t="str">
        <f>IFERROR(INDEX(Расходка[Наименование расходного материала],MATCH(Расходка[[#This Row],[№]],Поиск_расходки[Индекс9],0)),"")</f>
        <v>Dolphin</v>
      </c>
      <c r="AA19" s="114" t="str">
        <f>IFERROR(INDEX(Расходка[Наименование расходного материала],MATCH(Расходка[[#This Row],[№]],Поиск_расходки[Индекс10],0)),"")</f>
        <v>Dolphin</v>
      </c>
      <c r="AB19" s="114" t="str">
        <f>IFERROR(INDEX(Расходка[Наименование расходного материала],MATCH(Расходка[[#This Row],[№]],Поиск_расходки[Индекс11],0)),"")</f>
        <v>Dolphin</v>
      </c>
      <c r="AC19" s="114" t="str">
        <f>IFERROR(INDEX(Расходка[Наименование расходного материала],MATCH(Расходка[[#This Row],[№]],Поиск_расходки[Индекс12],0)),"")</f>
        <v>Dolphin</v>
      </c>
      <c r="AD19" s="114" t="str">
        <f>IFERROR(INDEX(Расходка[Наименование расходного материала],MATCH(Расходка[[#This Row],[№]],Поиск_расходки[Индекс13],0)),"")</f>
        <v>Dolphin</v>
      </c>
      <c r="AF19" s="4" t="s">
        <v>5</v>
      </c>
      <c r="AG19" s="4" t="s">
        <v>416</v>
      </c>
      <c r="AI19" t="s">
        <v>301</v>
      </c>
    </row>
    <row r="20" spans="1:35">
      <c r="A20">
        <f>ROW(Расходка[[#This Row],[Тип расходного материала ]])-1</f>
        <v>19</v>
      </c>
      <c r="B20" t="s">
        <v>305</v>
      </c>
      <c r="C20" t="s">
        <v>374</v>
      </c>
      <c r="E20" s="115">
        <f>IF(ISNUMBER(SEARCH('Карта учёта'!$B$13,Расходка[[#This Row],[Наименование расходного материала]])),MAX($E$1:E19)+1,0)</f>
        <v>0</v>
      </c>
      <c r="F20" s="115">
        <f>IF(ISNUMBER(SEARCH('Карта учёта'!$B$14,Расходка[[#This Row],[Наименование расходного материала]])),MAX($F$1:F19)+1,0)</f>
        <v>0</v>
      </c>
      <c r="G20" s="115">
        <f>IF(ISNUMBER(SEARCH('Карта учёта'!$B$15,Расходка[[#This Row],[Наименование расходного материала]])),MAX($G$1:G19)+1,0)</f>
        <v>19</v>
      </c>
      <c r="H20" s="115">
        <f>IF(ISNUMBER(SEARCH('Карта учёта'!$B$16,Расходка[[#This Row],[Наименование расходного материала]])),MAX($H$1:H19)+1,0)</f>
        <v>19</v>
      </c>
      <c r="I20" s="115">
        <f>IF(ISNUMBER(SEARCH('Карта учёта'!$B$17,Расходка[[#This Row],[Наименование расходного материала]])),MAX($I$1:I19)+1,0)</f>
        <v>19</v>
      </c>
      <c r="J20" s="115">
        <f>IF(ISNUMBER(SEARCH('Карта учёта'!$B$18,Расходка[[#This Row],[Наименование расходного материала]])),MAX($J$1:J19)+1,0)</f>
        <v>19</v>
      </c>
      <c r="K20" s="115">
        <f>IF(ISNUMBER(SEARCH('Карта учёта'!$B$19,Расходка[[#This Row],[Наименование расходного материала]])),MAX($K$1:K19)+1,0)</f>
        <v>19</v>
      </c>
      <c r="L20" s="115">
        <f>IF(ISNUMBER(SEARCH('Карта учёта'!$B$20,Расходка[[#This Row],[Наименование расходного материала]])),MAX($L$1:L19)+1,0)</f>
        <v>19</v>
      </c>
      <c r="M20" s="115">
        <f>IF(ISNUMBER(SEARCH('Карта учёта'!$B$21,Расходка[[#This Row],[Наименование расходного материала]])),MAX($M$1:M19)+1,0)</f>
        <v>19</v>
      </c>
      <c r="N20" s="115">
        <f>IF(ISNUMBER(SEARCH('Карта учёта'!$B$22,Расходка[[#This Row],[Наименование расходного материала]])),MAX($N$1:N19)+1,0)</f>
        <v>19</v>
      </c>
      <c r="O20" s="115">
        <f>IF(ISNUMBER(SEARCH('Карта учёта'!$B$23,Расходка[[#This Row],[Наименование расходного материала]])),MAX($O$1:O19)+1,0)</f>
        <v>19</v>
      </c>
      <c r="P20" s="115">
        <f>IF(ISNUMBER(SEARCH('Карта учёта'!$B$24,Расходка[[#This Row],[Наименование расходного материала]])),MAX($P$1:P19)+1,0)</f>
        <v>19</v>
      </c>
      <c r="Q20" s="115">
        <f>IF(ISNUMBER(SEARCH('Карта учёта'!$B$25,Расходка[[#This Row],[Наименование расходного материала]])),MAX($Q$1:Q19)+1,0)</f>
        <v>19</v>
      </c>
      <c r="R20" s="114" t="str">
        <f>IFERROR(INDEX(Расходка[Наименование расходного материала],MATCH(Расходка[[#This Row],[№]],Поиск_расходки[Индекс1],0)),"")</f>
        <v/>
      </c>
      <c r="S20" s="114" t="str">
        <f>IFERROR(INDEX(Расходка[Наименование расходного материала],MATCH(Расходка[[#This Row],[№]],Поиск_расходки[Индекс2],0)),"")</f>
        <v/>
      </c>
      <c r="T20" s="114" t="str">
        <f>IFERROR(INDEX(Расходка[Наименование расходного материала],MATCH(Расходка[[#This Row],[№]],Поиск_расходки[Индекс3],0)),"")</f>
        <v>Lepu Medical</v>
      </c>
      <c r="U20" s="114" t="str">
        <f>IFERROR(INDEX(Расходка[Наименование расходного материала],MATCH(Расходка[[#This Row],[№]],Поиск_расходки[Индекс4],0)),"")</f>
        <v>Lepu Medical</v>
      </c>
      <c r="V20" s="114" t="str">
        <f>IFERROR(INDEX(Расходка[Наименование расходного материала],MATCH(Расходка[[#This Row],[№]],Поиск_расходки[Индекс5],0)),"")</f>
        <v>Lepu Medical</v>
      </c>
      <c r="W20" s="114" t="str">
        <f>IFERROR(INDEX(Расходка[Наименование расходного материала],MATCH(Расходка[[#This Row],[№]],Поиск_расходки[Индекс6],0)),"")</f>
        <v>Lepu Medical</v>
      </c>
      <c r="X20" s="114" t="str">
        <f>IFERROR(INDEX(Расходка[Наименование расходного материала],MATCH(Расходка[[#This Row],[№]],Поиск_расходки[Индекс7],0)),"")</f>
        <v>Lepu Medical</v>
      </c>
      <c r="Y20" s="114" t="str">
        <f>IFERROR(INDEX(Расходка[Наименование расходного материала],MATCH(Расходка[[#This Row],[№]],Поиск_расходки[Индекс8],0)),"")</f>
        <v>Lepu Medical</v>
      </c>
      <c r="Z20" s="114" t="str">
        <f>IFERROR(INDEX(Расходка[Наименование расходного материала],MATCH(Расходка[[#This Row],[№]],Поиск_расходки[Индекс9],0)),"")</f>
        <v>Lepu Medical</v>
      </c>
      <c r="AA20" s="114" t="str">
        <f>IFERROR(INDEX(Расходка[Наименование расходного материала],MATCH(Расходка[[#This Row],[№]],Поиск_расходки[Индекс10],0)),"")</f>
        <v>Lepu Medical</v>
      </c>
      <c r="AB20" s="114" t="str">
        <f>IFERROR(INDEX(Расходка[Наименование расходного материала],MATCH(Расходка[[#This Row],[№]],Поиск_расходки[Индекс11],0)),"")</f>
        <v>Lepu Medical</v>
      </c>
      <c r="AC20" s="114" t="str">
        <f>IFERROR(INDEX(Расходка[Наименование расходного материала],MATCH(Расходка[[#This Row],[№]],Поиск_расходки[Индекс12],0)),"")</f>
        <v>Lepu Medical</v>
      </c>
      <c r="AD20" s="114" t="str">
        <f>IFERROR(INDEX(Расходка[Наименование расходного материала],MATCH(Расходка[[#This Row],[№]],Поиск_расходки[Индекс13],0)),"")</f>
        <v>Lepu Medical</v>
      </c>
      <c r="AF20" s="4" t="s">
        <v>5</v>
      </c>
      <c r="AG20" s="4" t="s">
        <v>417</v>
      </c>
      <c r="AI20" t="s">
        <v>307</v>
      </c>
    </row>
    <row r="21" spans="1:35">
      <c r="A21">
        <f>ROW(Расходка[[#This Row],[Тип расходного материала ]])-1</f>
        <v>20</v>
      </c>
      <c r="B21" t="s">
        <v>305</v>
      </c>
      <c r="C21" t="s">
        <v>366</v>
      </c>
      <c r="E21" s="115">
        <f>IF(ISNUMBER(SEARCH('Карта учёта'!$B$13,Расходка[[#This Row],[Наименование расходного материала]])),MAX($E$1:E20)+1,0)</f>
        <v>0</v>
      </c>
      <c r="F21" s="115">
        <f>IF(ISNUMBER(SEARCH('Карта учёта'!$B$14,Расходка[[#This Row],[Наименование расходного материала]])),MAX($F$1:F20)+1,0)</f>
        <v>0</v>
      </c>
      <c r="G21" s="115">
        <f>IF(ISNUMBER(SEARCH('Карта учёта'!$B$15,Расходка[[#This Row],[Наименование расходного материала]])),MAX($G$1:G20)+1,0)</f>
        <v>20</v>
      </c>
      <c r="H21" s="115">
        <f>IF(ISNUMBER(SEARCH('Карта учёта'!$B$16,Расходка[[#This Row],[Наименование расходного материала]])),MAX($H$1:H20)+1,0)</f>
        <v>20</v>
      </c>
      <c r="I21" s="115">
        <f>IF(ISNUMBER(SEARCH('Карта учёта'!$B$17,Расходка[[#This Row],[Наименование расходного материала]])),MAX($I$1:I20)+1,0)</f>
        <v>20</v>
      </c>
      <c r="J21" s="115">
        <f>IF(ISNUMBER(SEARCH('Карта учёта'!$B$18,Расходка[[#This Row],[Наименование расходного материала]])),MAX($J$1:J20)+1,0)</f>
        <v>20</v>
      </c>
      <c r="K21" s="115">
        <f>IF(ISNUMBER(SEARCH('Карта учёта'!$B$19,Расходка[[#This Row],[Наименование расходного материала]])),MAX($K$1:K20)+1,0)</f>
        <v>20</v>
      </c>
      <c r="L21" s="115">
        <f>IF(ISNUMBER(SEARCH('Карта учёта'!$B$20,Расходка[[#This Row],[Наименование расходного материала]])),MAX($L$1:L20)+1,0)</f>
        <v>20</v>
      </c>
      <c r="M21" s="115">
        <f>IF(ISNUMBER(SEARCH('Карта учёта'!$B$21,Расходка[[#This Row],[Наименование расходного материала]])),MAX($M$1:M20)+1,0)</f>
        <v>20</v>
      </c>
      <c r="N21" s="115">
        <f>IF(ISNUMBER(SEARCH('Карта учёта'!$B$22,Расходка[[#This Row],[Наименование расходного материала]])),MAX($N$1:N20)+1,0)</f>
        <v>20</v>
      </c>
      <c r="O21" s="115">
        <f>IF(ISNUMBER(SEARCH('Карта учёта'!$B$23,Расходка[[#This Row],[Наименование расходного материала]])),MAX($O$1:O20)+1,0)</f>
        <v>20</v>
      </c>
      <c r="P21" s="115">
        <f>IF(ISNUMBER(SEARCH('Карта учёта'!$B$24,Расходка[[#This Row],[Наименование расходного материала]])),MAX($P$1:P20)+1,0)</f>
        <v>20</v>
      </c>
      <c r="Q21" s="115">
        <f>IF(ISNUMBER(SEARCH('Карта учёта'!$B$25,Расходка[[#This Row],[Наименование расходного материала]])),MAX($Q$1:Q20)+1,0)</f>
        <v>20</v>
      </c>
      <c r="R21" s="114" t="str">
        <f>IFERROR(INDEX(Расходка[Наименование расходного материала],MATCH(Расходка[[#This Row],[№]],Поиск_расходки[Индекс1],0)),"")</f>
        <v/>
      </c>
      <c r="S21" s="114" t="str">
        <f>IFERROR(INDEX(Расходка[Наименование расходного материала],MATCH(Расходка[[#This Row],[№]],Поиск_расходки[Индекс2],0)),"")</f>
        <v/>
      </c>
      <c r="T21" s="114" t="str">
        <f>IFERROR(INDEX(Расходка[Наименование расходного материала],MATCH(Расходка[[#This Row],[№]],Поиск_расходки[Индекс3],0)),"")</f>
        <v>Perouse Medical FLAMINGO</v>
      </c>
      <c r="U21" s="114" t="str">
        <f>IFERROR(INDEX(Расходка[Наименование расходного материала],MATCH(Расходка[[#This Row],[№]],Поиск_расходки[Индекс4],0)),"")</f>
        <v>Perouse Medical FLAMINGO</v>
      </c>
      <c r="V21" s="114" t="str">
        <f>IFERROR(INDEX(Расходка[Наименование расходного материала],MATCH(Расходка[[#This Row],[№]],Поиск_расходки[Индекс5],0)),"")</f>
        <v>Perouse Medical FLAMINGO</v>
      </c>
      <c r="W21" s="114" t="str">
        <f>IFERROR(INDEX(Расходка[Наименование расходного материала],MATCH(Расходка[[#This Row],[№]],Поиск_расходки[Индекс6],0)),"")</f>
        <v>Perouse Medical FLAMINGO</v>
      </c>
      <c r="X21" s="114" t="str">
        <f>IFERROR(INDEX(Расходка[Наименование расходного материала],MATCH(Расходка[[#This Row],[№]],Поиск_расходки[Индекс7],0)),"")</f>
        <v>Perouse Medical FLAMINGO</v>
      </c>
      <c r="Y21" s="114" t="str">
        <f>IFERROR(INDEX(Расходка[Наименование расходного материала],MATCH(Расходка[[#This Row],[№]],Поиск_расходки[Индекс8],0)),"")</f>
        <v>Perouse Medical FLAMINGO</v>
      </c>
      <c r="Z21" s="114" t="str">
        <f>IFERROR(INDEX(Расходка[Наименование расходного материала],MATCH(Расходка[[#This Row],[№]],Поиск_расходки[Индекс9],0)),"")</f>
        <v>Perouse Medical FLAMINGO</v>
      </c>
      <c r="AA21" s="114" t="str">
        <f>IFERROR(INDEX(Расходка[Наименование расходного материала],MATCH(Расходка[[#This Row],[№]],Поиск_расходки[Индекс10],0)),"")</f>
        <v>Perouse Medical FLAMINGO</v>
      </c>
      <c r="AB21" s="114" t="str">
        <f>IFERROR(INDEX(Расходка[Наименование расходного материала],MATCH(Расходка[[#This Row],[№]],Поиск_расходки[Индекс11],0)),"")</f>
        <v>Perouse Medical FLAMINGO</v>
      </c>
      <c r="AC21" s="114" t="str">
        <f>IFERROR(INDEX(Расходка[Наименование расходного материала],MATCH(Расходка[[#This Row],[№]],Поиск_расходки[Индекс12],0)),"")</f>
        <v>Perouse Medical FLAMINGO</v>
      </c>
      <c r="AD21" s="114" t="str">
        <f>IFERROR(INDEX(Расходка[Наименование расходного материала],MATCH(Расходка[[#This Row],[№]],Поиск_расходки[Индекс13],0)),"")</f>
        <v>Perouse Medical FLAMINGO</v>
      </c>
      <c r="AF21" s="4" t="s">
        <v>5</v>
      </c>
      <c r="AG21" s="4" t="s">
        <v>418</v>
      </c>
    </row>
    <row r="22" spans="1:35">
      <c r="A22">
        <f>ROW(Расходка[[#This Row],[Тип расходного материала ]])-1</f>
        <v>21</v>
      </c>
      <c r="B22" t="s">
        <v>305</v>
      </c>
      <c r="C22" t="s">
        <v>503</v>
      </c>
      <c r="E22" s="115">
        <f>IF(ISNUMBER(SEARCH('Карта учёта'!$B$13,Расходка[[#This Row],[Наименование расходного материала]])),MAX($E$1:E21)+1,0)</f>
        <v>0</v>
      </c>
      <c r="F22" s="115">
        <f>IF(ISNUMBER(SEARCH('Карта учёта'!$B$14,Расходка[[#This Row],[Наименование расходного материала]])),MAX($F$1:F21)+1,0)</f>
        <v>0</v>
      </c>
      <c r="G22" s="115">
        <f>IF(ISNUMBER(SEARCH('Карта учёта'!$B$15,Расходка[[#This Row],[Наименование расходного материала]])),MAX($G$1:G21)+1,0)</f>
        <v>21</v>
      </c>
      <c r="H22" s="115">
        <f>IF(ISNUMBER(SEARCH('Карта учёта'!$B$16,Расходка[[#This Row],[Наименование расходного материала]])),MAX($H$1:H21)+1,0)</f>
        <v>21</v>
      </c>
      <c r="I22" s="115">
        <f>IF(ISNUMBER(SEARCH('Карта учёта'!$B$17,Расходка[[#This Row],[Наименование расходного материала]])),MAX($I$1:I21)+1,0)</f>
        <v>21</v>
      </c>
      <c r="J22" s="115">
        <f>IF(ISNUMBER(SEARCH('Карта учёта'!$B$18,Расходка[[#This Row],[Наименование расходного материала]])),MAX($J$1:J21)+1,0)</f>
        <v>21</v>
      </c>
      <c r="K22" s="115">
        <f>IF(ISNUMBER(SEARCH('Карта учёта'!$B$19,Расходка[[#This Row],[Наименование расходного материала]])),MAX($K$1:K21)+1,0)</f>
        <v>21</v>
      </c>
      <c r="L22" s="115">
        <f>IF(ISNUMBER(SEARCH('Карта учёта'!$B$20,Расходка[[#This Row],[Наименование расходного материала]])),MAX($L$1:L21)+1,0)</f>
        <v>21</v>
      </c>
      <c r="M22" s="115">
        <f>IF(ISNUMBER(SEARCH('Карта учёта'!$B$21,Расходка[[#This Row],[Наименование расходного материала]])),MAX($M$1:M21)+1,0)</f>
        <v>21</v>
      </c>
      <c r="N22" s="115">
        <f>IF(ISNUMBER(SEARCH('Карта учёта'!$B$22,Расходка[[#This Row],[Наименование расходного материала]])),MAX($N$1:N21)+1,0)</f>
        <v>21</v>
      </c>
      <c r="O22" s="115">
        <f>IF(ISNUMBER(SEARCH('Карта учёта'!$B$23,Расходка[[#This Row],[Наименование расходного материала]])),MAX($O$1:O21)+1,0)</f>
        <v>21</v>
      </c>
      <c r="P22" s="115">
        <f>IF(ISNUMBER(SEARCH('Карта учёта'!$B$24,Расходка[[#This Row],[Наименование расходного материала]])),MAX($P$1:P21)+1,0)</f>
        <v>21</v>
      </c>
      <c r="Q22" s="115">
        <f>IF(ISNUMBER(SEARCH('Карта учёта'!$B$25,Расходка[[#This Row],[Наименование расходного материала]])),MAX($Q$1:Q21)+1,0)</f>
        <v>21</v>
      </c>
      <c r="R22" s="114" t="str">
        <f>IFERROR(INDEX(Расходка[Наименование расходного материала],MATCH(Расходка[[#This Row],[№]],Поиск_расходки[Индекс1],0)),"")</f>
        <v/>
      </c>
      <c r="S22" s="114" t="str">
        <f>IFERROR(INDEX(Расходка[Наименование расходного материала],MATCH(Расходка[[#This Row],[№]],Поиск_расходки[Индекс2],0)),"")</f>
        <v/>
      </c>
      <c r="T22" s="114" t="str">
        <f>IFERROR(INDEX(Расходка[Наименование расходного материала],MATCH(Расходка[[#This Row],[№]],Поиск_расходки[Индекс3],0)),"")</f>
        <v>Demax</v>
      </c>
      <c r="U22" s="114" t="str">
        <f>IFERROR(INDEX(Расходка[Наименование расходного материала],MATCH(Расходка[[#This Row],[№]],Поиск_расходки[Индекс4],0)),"")</f>
        <v>Demax</v>
      </c>
      <c r="V22" s="114" t="str">
        <f>IFERROR(INDEX(Расходка[Наименование расходного материала],MATCH(Расходка[[#This Row],[№]],Поиск_расходки[Индекс5],0)),"")</f>
        <v>Demax</v>
      </c>
      <c r="W22" s="114" t="str">
        <f>IFERROR(INDEX(Расходка[Наименование расходного материала],MATCH(Расходка[[#This Row],[№]],Поиск_расходки[Индекс6],0)),"")</f>
        <v>Demax</v>
      </c>
      <c r="X22" s="114" t="str">
        <f>IFERROR(INDEX(Расходка[Наименование расходного материала],MATCH(Расходка[[#This Row],[№]],Поиск_расходки[Индекс7],0)),"")</f>
        <v>Demax</v>
      </c>
      <c r="Y22" s="114" t="str">
        <f>IFERROR(INDEX(Расходка[Наименование расходного материала],MATCH(Расходка[[#This Row],[№]],Поиск_расходки[Индекс8],0)),"")</f>
        <v>Demax</v>
      </c>
      <c r="Z22" s="114" t="str">
        <f>IFERROR(INDEX(Расходка[Наименование расходного материала],MATCH(Расходка[[#This Row],[№]],Поиск_расходки[Индекс9],0)),"")</f>
        <v>Demax</v>
      </c>
      <c r="AA22" s="114" t="str">
        <f>IFERROR(INDEX(Расходка[Наименование расходного материала],MATCH(Расходка[[#This Row],[№]],Поиск_расходки[Индекс10],0)),"")</f>
        <v>Demax</v>
      </c>
      <c r="AB22" s="114" t="str">
        <f>IFERROR(INDEX(Расходка[Наименование расходного материала],MATCH(Расходка[[#This Row],[№]],Поиск_расходки[Индекс11],0)),"")</f>
        <v>Demax</v>
      </c>
      <c r="AC22" s="114" t="str">
        <f>IFERROR(INDEX(Расходка[Наименование расходного материала],MATCH(Расходка[[#This Row],[№]],Поиск_расходки[Индекс12],0)),"")</f>
        <v>Demax</v>
      </c>
      <c r="AD22" s="114" t="str">
        <f>IFERROR(INDEX(Расходка[Наименование расходного материала],MATCH(Расходка[[#This Row],[№]],Поиск_расходки[Индекс13],0)),"")</f>
        <v>Demax</v>
      </c>
      <c r="AF22" s="4" t="s">
        <v>5</v>
      </c>
      <c r="AG22" s="4" t="s">
        <v>419</v>
      </c>
    </row>
    <row r="23" spans="1:35">
      <c r="A23">
        <f>ROW(Расходка[[#This Row],[Тип расходного материала ]])-1</f>
        <v>22</v>
      </c>
      <c r="B23" t="s">
        <v>206</v>
      </c>
      <c r="C23" s="1" t="s">
        <v>337</v>
      </c>
      <c r="E23" s="115">
        <f>IF(ISNUMBER(SEARCH('Карта учёта'!$B$13,Расходка[[#This Row],[Наименование расходного материала]])),MAX($E$1:E22)+1,0)</f>
        <v>0</v>
      </c>
      <c r="F23" s="115">
        <f>IF(ISNUMBER(SEARCH('Карта учёта'!$B$14,Расходка[[#This Row],[Наименование расходного материала]])),MAX($F$1:F22)+1,0)</f>
        <v>0</v>
      </c>
      <c r="G23" s="115">
        <f>IF(ISNUMBER(SEARCH('Карта учёта'!$B$15,Расходка[[#This Row],[Наименование расходного материала]])),MAX($G$1:G22)+1,0)</f>
        <v>22</v>
      </c>
      <c r="H23" s="115">
        <f>IF(ISNUMBER(SEARCH('Карта учёта'!$B$16,Расходка[[#This Row],[Наименование расходного материала]])),MAX($H$1:H22)+1,0)</f>
        <v>22</v>
      </c>
      <c r="I23" s="115">
        <f>IF(ISNUMBER(SEARCH('Карта учёта'!$B$17,Расходка[[#This Row],[Наименование расходного материала]])),MAX($I$1:I22)+1,0)</f>
        <v>22</v>
      </c>
      <c r="J23" s="115">
        <f>IF(ISNUMBER(SEARCH('Карта учёта'!$B$18,Расходка[[#This Row],[Наименование расходного материала]])),MAX($J$1:J22)+1,0)</f>
        <v>22</v>
      </c>
      <c r="K23" s="115">
        <f>IF(ISNUMBER(SEARCH('Карта учёта'!$B$19,Расходка[[#This Row],[Наименование расходного материала]])),MAX($K$1:K22)+1,0)</f>
        <v>22</v>
      </c>
      <c r="L23" s="115">
        <f>IF(ISNUMBER(SEARCH('Карта учёта'!$B$20,Расходка[[#This Row],[Наименование расходного материала]])),MAX($L$1:L22)+1,0)</f>
        <v>22</v>
      </c>
      <c r="M23" s="115">
        <f>IF(ISNUMBER(SEARCH('Карта учёта'!$B$21,Расходка[[#This Row],[Наименование расходного материала]])),MAX($M$1:M22)+1,0)</f>
        <v>22</v>
      </c>
      <c r="N23" s="115">
        <f>IF(ISNUMBER(SEARCH('Карта учёта'!$B$22,Расходка[[#This Row],[Наименование расходного материала]])),MAX($N$1:N22)+1,0)</f>
        <v>22</v>
      </c>
      <c r="O23" s="115">
        <f>IF(ISNUMBER(SEARCH('Карта учёта'!$B$23,Расходка[[#This Row],[Наименование расходного материала]])),MAX($O$1:O22)+1,0)</f>
        <v>22</v>
      </c>
      <c r="P23" s="115">
        <f>IF(ISNUMBER(SEARCH('Карта учёта'!$B$24,Расходка[[#This Row],[Наименование расходного материала]])),MAX($P$1:P22)+1,0)</f>
        <v>22</v>
      </c>
      <c r="Q23" s="115">
        <f>IF(ISNUMBER(SEARCH('Карта учёта'!$B$25,Расходка[[#This Row],[Наименование расходного материала]])),MAX($Q$1:Q22)+1,0)</f>
        <v>22</v>
      </c>
      <c r="R23" s="114" t="str">
        <f>IFERROR(INDEX(Расходка[Наименование расходного материала],MATCH(Расходка[[#This Row],[№]],Поиск_расходки[Индекс1],0)),"")</f>
        <v/>
      </c>
      <c r="S23" s="114" t="str">
        <f>IFERROR(INDEX(Расходка[Наименование расходного материала],MATCH(Расходка[[#This Row],[№]],Поиск_расходки[Индекс2],0)),"")</f>
        <v/>
      </c>
      <c r="T23" s="114" t="str">
        <f>IFERROR(INDEX(Расходка[Наименование расходного материала],MATCH(Расходка[[#This Row],[№]],Поиск_расходки[Индекс3],0)),"")</f>
        <v>Oscor 7F</v>
      </c>
      <c r="U23" s="114" t="str">
        <f>IFERROR(INDEX(Расходка[Наименование расходного материала],MATCH(Расходка[[#This Row],[№]],Поиск_расходки[Индекс4],0)),"")</f>
        <v>Oscor 7F</v>
      </c>
      <c r="V23" s="114" t="str">
        <f>IFERROR(INDEX(Расходка[Наименование расходного материала],MATCH(Расходка[[#This Row],[№]],Поиск_расходки[Индекс5],0)),"")</f>
        <v>Oscor 7F</v>
      </c>
      <c r="W23" s="114" t="str">
        <f>IFERROR(INDEX(Расходка[Наименование расходного материала],MATCH(Расходка[[#This Row],[№]],Поиск_расходки[Индекс6],0)),"")</f>
        <v>Oscor 7F</v>
      </c>
      <c r="X23" s="114" t="str">
        <f>IFERROR(INDEX(Расходка[Наименование расходного материала],MATCH(Расходка[[#This Row],[№]],Поиск_расходки[Индекс7],0)),"")</f>
        <v>Oscor 7F</v>
      </c>
      <c r="Y23" s="114" t="str">
        <f>IFERROR(INDEX(Расходка[Наименование расходного материала],MATCH(Расходка[[#This Row],[№]],Поиск_расходки[Индекс8],0)),"")</f>
        <v>Oscor 7F</v>
      </c>
      <c r="Z23" s="114" t="str">
        <f>IFERROR(INDEX(Расходка[Наименование расходного материала],MATCH(Расходка[[#This Row],[№]],Поиск_расходки[Индекс9],0)),"")</f>
        <v>Oscor 7F</v>
      </c>
      <c r="AA23" s="114" t="str">
        <f>IFERROR(INDEX(Расходка[Наименование расходного материала],MATCH(Расходка[[#This Row],[№]],Поиск_расходки[Индекс10],0)),"")</f>
        <v>Oscor 7F</v>
      </c>
      <c r="AB23" s="114" t="str">
        <f>IFERROR(INDEX(Расходка[Наименование расходного материала],MATCH(Расходка[[#This Row],[№]],Поиск_расходки[Индекс11],0)),"")</f>
        <v>Oscor 7F</v>
      </c>
      <c r="AC23" s="114" t="str">
        <f>IFERROR(INDEX(Расходка[Наименование расходного материала],MATCH(Расходка[[#This Row],[№]],Поиск_расходки[Индекс12],0)),"")</f>
        <v>Oscor 7F</v>
      </c>
      <c r="AD23" s="114" t="str">
        <f>IFERROR(INDEX(Расходка[Наименование расходного материала],MATCH(Расходка[[#This Row],[№]],Поиск_расходки[Индекс13],0)),"")</f>
        <v>Oscor 7F</v>
      </c>
      <c r="AF23" s="4" t="s">
        <v>5</v>
      </c>
      <c r="AG23" s="4" t="s">
        <v>420</v>
      </c>
    </row>
    <row r="24" spans="1:35">
      <c r="A24">
        <f>ROW(Расходка[[#This Row],[Тип расходного материала ]])-1</f>
        <v>23</v>
      </c>
      <c r="B24" t="s">
        <v>305</v>
      </c>
      <c r="C24" s="1" t="s">
        <v>505</v>
      </c>
      <c r="E24" s="115">
        <f>IF(ISNUMBER(SEARCH('Карта учёта'!$B$13,Расходка[[#This Row],[Наименование расходного материала]])),MAX($E$1:E23)+1,0)</f>
        <v>0</v>
      </c>
      <c r="F24" s="115">
        <f>IF(ISNUMBER(SEARCH('Карта учёта'!$B$14,Расходка[[#This Row],[Наименование расходного материала]])),MAX($F$1:F23)+1,0)</f>
        <v>0</v>
      </c>
      <c r="G24" s="115">
        <f>IF(ISNUMBER(SEARCH('Карта учёта'!$B$15,Расходка[[#This Row],[Наименование расходного материала]])),MAX($G$1:G23)+1,0)</f>
        <v>23</v>
      </c>
      <c r="H24" s="115">
        <f>IF(ISNUMBER(SEARCH('Карта учёта'!$B$16,Расходка[[#This Row],[Наименование расходного материала]])),MAX($H$1:H23)+1,0)</f>
        <v>23</v>
      </c>
      <c r="I24" s="115">
        <f>IF(ISNUMBER(SEARCH('Карта учёта'!$B$17,Расходка[[#This Row],[Наименование расходного материала]])),MAX($I$1:I23)+1,0)</f>
        <v>23</v>
      </c>
      <c r="J24" s="115">
        <f>IF(ISNUMBER(SEARCH('Карта учёта'!$B$18,Расходка[[#This Row],[Наименование расходного материала]])),MAX($J$1:J23)+1,0)</f>
        <v>23</v>
      </c>
      <c r="K24" s="115">
        <f>IF(ISNUMBER(SEARCH('Карта учёта'!$B$19,Расходка[[#This Row],[Наименование расходного материала]])),MAX($K$1:K23)+1,0)</f>
        <v>23</v>
      </c>
      <c r="L24" s="115">
        <f>IF(ISNUMBER(SEARCH('Карта учёта'!$B$20,Расходка[[#This Row],[Наименование расходного материала]])),MAX($L$1:L23)+1,0)</f>
        <v>23</v>
      </c>
      <c r="M24" s="115">
        <f>IF(ISNUMBER(SEARCH('Карта учёта'!$B$21,Расходка[[#This Row],[Наименование расходного материала]])),MAX($M$1:M23)+1,0)</f>
        <v>23</v>
      </c>
      <c r="N24" s="115">
        <f>IF(ISNUMBER(SEARCH('Карта учёта'!$B$22,Расходка[[#This Row],[Наименование расходного материала]])),MAX($N$1:N23)+1,0)</f>
        <v>23</v>
      </c>
      <c r="O24" s="115">
        <f>IF(ISNUMBER(SEARCH('Карта учёта'!$B$23,Расходка[[#This Row],[Наименование расходного материала]])),MAX($O$1:O23)+1,0)</f>
        <v>23</v>
      </c>
      <c r="P24" s="115">
        <f>IF(ISNUMBER(SEARCH('Карта учёта'!$B$24,Расходка[[#This Row],[Наименование расходного материала]])),MAX($P$1:P23)+1,0)</f>
        <v>23</v>
      </c>
      <c r="Q24" s="115">
        <f>IF(ISNUMBER(SEARCH('Карта учёта'!$B$25,Расходка[[#This Row],[Наименование расходного материала]])),MAX($Q$1:Q23)+1,0)</f>
        <v>23</v>
      </c>
      <c r="R24" s="114" t="str">
        <f>IFERROR(INDEX(Расходка[Наименование расходного материала],MATCH(Расходка[[#This Row],[№]],Поиск_расходки[Индекс1],0)),"")</f>
        <v/>
      </c>
      <c r="S24" s="114" t="str">
        <f>IFERROR(INDEX(Расходка[Наименование расходного материала],MATCH(Расходка[[#This Row],[№]],Поиск_расходки[Индекс2],0)),"")</f>
        <v/>
      </c>
      <c r="T24" s="114" t="str">
        <f>IFERROR(INDEX(Расходка[Наименование расходного материала],MATCH(Расходка[[#This Row],[№]],Поиск_расходки[Индекс3],0)),"")</f>
        <v>"МИМ". Тюмень</v>
      </c>
      <c r="U24" s="114" t="str">
        <f>IFERROR(INDEX(Расходка[Наименование расходного материала],MATCH(Расходка[[#This Row],[№]],Поиск_расходки[Индекс4],0)),"")</f>
        <v>"МИМ". Тюмень</v>
      </c>
      <c r="V24" s="114" t="str">
        <f>IFERROR(INDEX(Расходка[Наименование расходного материала],MATCH(Расходка[[#This Row],[№]],Поиск_расходки[Индекс5],0)),"")</f>
        <v>"МИМ". Тюмень</v>
      </c>
      <c r="W24" s="114" t="str">
        <f>IFERROR(INDEX(Расходка[Наименование расходного материала],MATCH(Расходка[[#This Row],[№]],Поиск_расходки[Индекс6],0)),"")</f>
        <v>"МИМ". Тюмень</v>
      </c>
      <c r="X24" s="114" t="str">
        <f>IFERROR(INDEX(Расходка[Наименование расходного материала],MATCH(Расходка[[#This Row],[№]],Поиск_расходки[Индекс7],0)),"")</f>
        <v>"МИМ". Тюмень</v>
      </c>
      <c r="Y24" s="114" t="str">
        <f>IFERROR(INDEX(Расходка[Наименование расходного материала],MATCH(Расходка[[#This Row],[№]],Поиск_расходки[Индекс8],0)),"")</f>
        <v>"МИМ". Тюмень</v>
      </c>
      <c r="Z24" s="114" t="str">
        <f>IFERROR(INDEX(Расходка[Наименование расходного материала],MATCH(Расходка[[#This Row],[№]],Поиск_расходки[Индекс9],0)),"")</f>
        <v>"МИМ". Тюмень</v>
      </c>
      <c r="AA24" s="114" t="str">
        <f>IFERROR(INDEX(Расходка[Наименование расходного материала],MATCH(Расходка[[#This Row],[№]],Поиск_расходки[Индекс10],0)),"")</f>
        <v>"МИМ". Тюмень</v>
      </c>
      <c r="AB24" s="114" t="str">
        <f>IFERROR(INDEX(Расходка[Наименование расходного материала],MATCH(Расходка[[#This Row],[№]],Поиск_расходки[Индекс11],0)),"")</f>
        <v>"МИМ". Тюмень</v>
      </c>
      <c r="AC24" s="114" t="str">
        <f>IFERROR(INDEX(Расходка[Наименование расходного материала],MATCH(Расходка[[#This Row],[№]],Поиск_расходки[Индекс12],0)),"")</f>
        <v>"МИМ". Тюмень</v>
      </c>
      <c r="AD24" s="114" t="str">
        <f>IFERROR(INDEX(Расходка[Наименование расходного материала],MATCH(Расходка[[#This Row],[№]],Поиск_расходки[Индекс13],0)),"")</f>
        <v>"МИМ". Тюмень</v>
      </c>
      <c r="AF24" s="4" t="s">
        <v>5</v>
      </c>
      <c r="AG24" s="4" t="s">
        <v>421</v>
      </c>
    </row>
    <row r="25" spans="1:35">
      <c r="A25">
        <f>ROW(Расходка[[#This Row],[Тип расходного материала ]])-1</f>
        <v>24</v>
      </c>
      <c r="B25" t="s">
        <v>305</v>
      </c>
      <c r="C25" s="1" t="s">
        <v>507</v>
      </c>
      <c r="E25" s="115">
        <f>IF(ISNUMBER(SEARCH('Карта учёта'!$B$13,Расходка[[#This Row],[Наименование расходного материала]])),MAX($E$1:E24)+1,0)</f>
        <v>0</v>
      </c>
      <c r="F25" s="115">
        <f>IF(ISNUMBER(SEARCH('Карта учёта'!$B$14,Расходка[[#This Row],[Наименование расходного материала]])),MAX($F$1:F24)+1,0)</f>
        <v>0</v>
      </c>
      <c r="G25" s="115">
        <f>IF(ISNUMBER(SEARCH('Карта учёта'!$B$15,Расходка[[#This Row],[Наименование расходного материала]])),MAX($G$1:G24)+1,0)</f>
        <v>24</v>
      </c>
      <c r="H25" s="115">
        <f>IF(ISNUMBER(SEARCH('Карта учёта'!$B$16,Расходка[[#This Row],[Наименование расходного материала]])),MAX($H$1:H24)+1,0)</f>
        <v>24</v>
      </c>
      <c r="I25" s="115">
        <f>IF(ISNUMBER(SEARCH('Карта учёта'!$B$17,Расходка[[#This Row],[Наименование расходного материала]])),MAX($I$1:I24)+1,0)</f>
        <v>24</v>
      </c>
      <c r="J25" s="115">
        <f>IF(ISNUMBER(SEARCH('Карта учёта'!$B$18,Расходка[[#This Row],[Наименование расходного материала]])),MAX($J$1:J24)+1,0)</f>
        <v>24</v>
      </c>
      <c r="K25" s="115">
        <f>IF(ISNUMBER(SEARCH('Карта учёта'!$B$19,Расходка[[#This Row],[Наименование расходного материала]])),MAX($K$1:K24)+1,0)</f>
        <v>24</v>
      </c>
      <c r="L25" s="115">
        <f>IF(ISNUMBER(SEARCH('Карта учёта'!$B$20,Расходка[[#This Row],[Наименование расходного материала]])),MAX($L$1:L24)+1,0)</f>
        <v>24</v>
      </c>
      <c r="M25" s="115">
        <f>IF(ISNUMBER(SEARCH('Карта учёта'!$B$21,Расходка[[#This Row],[Наименование расходного материала]])),MAX($M$1:M24)+1,0)</f>
        <v>24</v>
      </c>
      <c r="N25" s="115">
        <f>IF(ISNUMBER(SEARCH('Карта учёта'!$B$22,Расходка[[#This Row],[Наименование расходного материала]])),MAX($N$1:N24)+1,0)</f>
        <v>24</v>
      </c>
      <c r="O25" s="115">
        <f>IF(ISNUMBER(SEARCH('Карта учёта'!$B$23,Расходка[[#This Row],[Наименование расходного материала]])),MAX($O$1:O24)+1,0)</f>
        <v>24</v>
      </c>
      <c r="P25" s="115">
        <f>IF(ISNUMBER(SEARCH('Карта учёта'!$B$24,Расходка[[#This Row],[Наименование расходного материала]])),MAX($P$1:P24)+1,0)</f>
        <v>24</v>
      </c>
      <c r="Q25" s="115">
        <f>IF(ISNUMBER(SEARCH('Карта учёта'!$B$25,Расходка[[#This Row],[Наименование расходного материала]])),MAX($Q$1:Q24)+1,0)</f>
        <v>24</v>
      </c>
      <c r="R25" s="114" t="str">
        <f>IFERROR(INDEX(Расходка[Наименование расходного материала],MATCH(Расходка[[#This Row],[№]],Поиск_расходки[Индекс1],0)),"")</f>
        <v/>
      </c>
      <c r="S25" s="114" t="str">
        <f>IFERROR(INDEX(Расходка[Наименование расходного материала],MATCH(Расходка[[#This Row],[№]],Поиск_расходки[Индекс2],0)),"")</f>
        <v/>
      </c>
      <c r="T25" s="114" t="str">
        <f>IFERROR(INDEX(Расходка[Наименование расходного материала],MATCH(Расходка[[#This Row],[№]],Поиск_расходки[Индекс3],0)),"")</f>
        <v>Поток CTЗ по ТУ</v>
      </c>
      <c r="U25" s="114" t="str">
        <f>IFERROR(INDEX(Расходка[Наименование расходного материала],MATCH(Расходка[[#This Row],[№]],Поиск_расходки[Индекс4],0)),"")</f>
        <v>Поток CTЗ по ТУ</v>
      </c>
      <c r="V25" s="114" t="str">
        <f>IFERROR(INDEX(Расходка[Наименование расходного материала],MATCH(Расходка[[#This Row],[№]],Поиск_расходки[Индекс5],0)),"")</f>
        <v>Поток CTЗ по ТУ</v>
      </c>
      <c r="W25" s="114" t="str">
        <f>IFERROR(INDEX(Расходка[Наименование расходного материала],MATCH(Расходка[[#This Row],[№]],Поиск_расходки[Индекс6],0)),"")</f>
        <v>Поток CTЗ по ТУ</v>
      </c>
      <c r="X25" s="114" t="str">
        <f>IFERROR(INDEX(Расходка[Наименование расходного материала],MATCH(Расходка[[#This Row],[№]],Поиск_расходки[Индекс7],0)),"")</f>
        <v>Поток CTЗ по ТУ</v>
      </c>
      <c r="Y25" s="114" t="str">
        <f>IFERROR(INDEX(Расходка[Наименование расходного материала],MATCH(Расходка[[#This Row],[№]],Поиск_расходки[Индекс8],0)),"")</f>
        <v>Поток CTЗ по ТУ</v>
      </c>
      <c r="Z25" s="114" t="str">
        <f>IFERROR(INDEX(Расходка[Наименование расходного материала],MATCH(Расходка[[#This Row],[№]],Поиск_расходки[Индекс9],0)),"")</f>
        <v>Поток CTЗ по ТУ</v>
      </c>
      <c r="AA25" s="114" t="str">
        <f>IFERROR(INDEX(Расходка[Наименование расходного материала],MATCH(Расходка[[#This Row],[№]],Поиск_расходки[Индекс10],0)),"")</f>
        <v>Поток CTЗ по ТУ</v>
      </c>
      <c r="AB25" s="114" t="str">
        <f>IFERROR(INDEX(Расходка[Наименование расходного материала],MATCH(Расходка[[#This Row],[№]],Поиск_расходки[Индекс11],0)),"")</f>
        <v>Поток CTЗ по ТУ</v>
      </c>
      <c r="AC25" s="114" t="str">
        <f>IFERROR(INDEX(Расходка[Наименование расходного материала],MATCH(Расходка[[#This Row],[№]],Поиск_расходки[Индекс12],0)),"")</f>
        <v>Поток CTЗ по ТУ</v>
      </c>
      <c r="AD25" s="114" t="str">
        <f>IFERROR(INDEX(Расходка[Наименование расходного материала],MATCH(Расходка[[#This Row],[№]],Поиск_расходки[Индекс13],0)),"")</f>
        <v>Поток CTЗ по ТУ</v>
      </c>
      <c r="AF25" s="4" t="s">
        <v>5</v>
      </c>
      <c r="AG25" s="4" t="s">
        <v>422</v>
      </c>
    </row>
    <row r="26" spans="1:35">
      <c r="A26">
        <f>ROW(Расходка[[#This Row],[Тип расходного материала ]])-1</f>
        <v>25</v>
      </c>
      <c r="B26" t="s">
        <v>305</v>
      </c>
      <c r="C26" s="1" t="s">
        <v>305</v>
      </c>
      <c r="E26" s="115">
        <f>IF(ISNUMBER(SEARCH('Карта учёта'!$B$13,Расходка[[#This Row],[Наименование расходного материала]])),MAX($E$1:E25)+1,0)</f>
        <v>0</v>
      </c>
      <c r="F26" s="115">
        <f>IF(ISNUMBER(SEARCH('Карта учёта'!$B$14,Расходка[[#This Row],[Наименование расходного материала]])),MAX($F$1:F25)+1,0)</f>
        <v>0</v>
      </c>
      <c r="G26" s="115">
        <f>IF(ISNUMBER(SEARCH('Карта учёта'!$B$15,Расходка[[#This Row],[Наименование расходного материала]])),MAX($G$1:G25)+1,0)</f>
        <v>25</v>
      </c>
      <c r="H26" s="115">
        <f>IF(ISNUMBER(SEARCH('Карта учёта'!$B$16,Расходка[[#This Row],[Наименование расходного материала]])),MAX($H$1:H25)+1,0)</f>
        <v>25</v>
      </c>
      <c r="I26" s="115">
        <f>IF(ISNUMBER(SEARCH('Карта учёта'!$B$17,Расходка[[#This Row],[Наименование расходного материала]])),MAX($I$1:I25)+1,0)</f>
        <v>25</v>
      </c>
      <c r="J26" s="115">
        <f>IF(ISNUMBER(SEARCH('Карта учёта'!$B$18,Расходка[[#This Row],[Наименование расходного материала]])),MAX($J$1:J25)+1,0)</f>
        <v>25</v>
      </c>
      <c r="K26" s="115">
        <f>IF(ISNUMBER(SEARCH('Карта учёта'!$B$19,Расходка[[#This Row],[Наименование расходного материала]])),MAX($K$1:K25)+1,0)</f>
        <v>25</v>
      </c>
      <c r="L26" s="115">
        <f>IF(ISNUMBER(SEARCH('Карта учёта'!$B$20,Расходка[[#This Row],[Наименование расходного материала]])),MAX($L$1:L25)+1,0)</f>
        <v>25</v>
      </c>
      <c r="M26" s="115">
        <f>IF(ISNUMBER(SEARCH('Карта учёта'!$B$21,Расходка[[#This Row],[Наименование расходного материала]])),MAX($M$1:M25)+1,0)</f>
        <v>25</v>
      </c>
      <c r="N26" s="115">
        <f>IF(ISNUMBER(SEARCH('Карта учёта'!$B$22,Расходка[[#This Row],[Наименование расходного материала]])),MAX($N$1:N25)+1,0)</f>
        <v>25</v>
      </c>
      <c r="O26" s="115">
        <f>IF(ISNUMBER(SEARCH('Карта учёта'!$B$23,Расходка[[#This Row],[Наименование расходного материала]])),MAX($O$1:O25)+1,0)</f>
        <v>25</v>
      </c>
      <c r="P26" s="115">
        <f>IF(ISNUMBER(SEARCH('Карта учёта'!$B$24,Расходка[[#This Row],[Наименование расходного материала]])),MAX($P$1:P25)+1,0)</f>
        <v>25</v>
      </c>
      <c r="Q26" s="115">
        <f>IF(ISNUMBER(SEARCH('Карта учёта'!$B$25,Расходка[[#This Row],[Наименование расходного материала]])),MAX($Q$1:Q25)+1,0)</f>
        <v>25</v>
      </c>
      <c r="R26" s="114" t="str">
        <f>IFERROR(INDEX(Расходка[Наименование расходного материала],MATCH(Расходка[[#This Row],[№]],Поиск_расходки[Индекс1],0)),"")</f>
        <v/>
      </c>
      <c r="S26" s="114" t="str">
        <f>IFERROR(INDEX(Расходка[Наименование расходного материала],MATCH(Расходка[[#This Row],[№]],Поиск_расходки[Индекс2],0)),"")</f>
        <v/>
      </c>
      <c r="T26" s="114" t="str">
        <f>IFERROR(INDEX(Расходка[Наименование расходного материала],MATCH(Расходка[[#This Row],[№]],Поиск_расходки[Индекс3],0)),"")</f>
        <v>Индефлятор</v>
      </c>
      <c r="U26" s="114" t="str">
        <f>IFERROR(INDEX(Расходка[Наименование расходного материала],MATCH(Расходка[[#This Row],[№]],Поиск_расходки[Индекс4],0)),"")</f>
        <v>Индефлятор</v>
      </c>
      <c r="V26" s="114" t="str">
        <f>IFERROR(INDEX(Расходка[Наименование расходного материала],MATCH(Расходка[[#This Row],[№]],Поиск_расходки[Индекс5],0)),"")</f>
        <v>Индефлятор</v>
      </c>
      <c r="W26" s="114" t="str">
        <f>IFERROR(INDEX(Расходка[Наименование расходного материала],MATCH(Расходка[[#This Row],[№]],Поиск_расходки[Индекс6],0)),"")</f>
        <v>Индефлятор</v>
      </c>
      <c r="X26" s="114" t="str">
        <f>IFERROR(INDEX(Расходка[Наименование расходного материала],MATCH(Расходка[[#This Row],[№]],Поиск_расходки[Индекс7],0)),"")</f>
        <v>Индефлятор</v>
      </c>
      <c r="Y26" s="114" t="str">
        <f>IFERROR(INDEX(Расходка[Наименование расходного материала],MATCH(Расходка[[#This Row],[№]],Поиск_расходки[Индекс8],0)),"")</f>
        <v>Индефлятор</v>
      </c>
      <c r="Z26" s="114" t="str">
        <f>IFERROR(INDEX(Расходка[Наименование расходного материала],MATCH(Расходка[[#This Row],[№]],Поиск_расходки[Индекс9],0)),"")</f>
        <v>Индефлятор</v>
      </c>
      <c r="AA26" s="114" t="str">
        <f>IFERROR(INDEX(Расходка[Наименование расходного материала],MATCH(Расходка[[#This Row],[№]],Поиск_расходки[Индекс10],0)),"")</f>
        <v>Индефлятор</v>
      </c>
      <c r="AB26" s="114" t="str">
        <f>IFERROR(INDEX(Расходка[Наименование расходного материала],MATCH(Расходка[[#This Row],[№]],Поиск_расходки[Индекс11],0)),"")</f>
        <v>Индефлятор</v>
      </c>
      <c r="AC26" s="114" t="str">
        <f>IFERROR(INDEX(Расходка[Наименование расходного материала],MATCH(Расходка[[#This Row],[№]],Поиск_расходки[Индекс12],0)),"")</f>
        <v>Индефлятор</v>
      </c>
      <c r="AD26" s="114" t="str">
        <f>IFERROR(INDEX(Расходка[Наименование расходного материала],MATCH(Расходка[[#This Row],[№]],Поиск_расходки[Индекс13],0)),"")</f>
        <v>Индефлятор</v>
      </c>
      <c r="AF26" s="4" t="s">
        <v>5</v>
      </c>
      <c r="AG26" s="4" t="s">
        <v>423</v>
      </c>
    </row>
    <row r="27" spans="1:35">
      <c r="A27">
        <f>ROW(Расходка[[#This Row],[Тип расходного материала ]])-1</f>
        <v>26</v>
      </c>
      <c r="B27" t="s">
        <v>3</v>
      </c>
      <c r="C27" t="s">
        <v>320</v>
      </c>
      <c r="E27" s="115">
        <f>IF(ISNUMBER(SEARCH('Карта учёта'!$B$13,Расходка[[#This Row],[Наименование расходного материала]])),MAX($E$1:E26)+1,0)</f>
        <v>0</v>
      </c>
      <c r="F27" s="115">
        <f>IF(ISNUMBER(SEARCH('Карта учёта'!$B$14,Расходка[[#This Row],[Наименование расходного материала]])),MAX($F$1:F26)+1,0)</f>
        <v>0</v>
      </c>
      <c r="G27" s="115">
        <f>IF(ISNUMBER(SEARCH('Карта учёта'!$B$15,Расходка[[#This Row],[Наименование расходного материала]])),MAX($G$1:G26)+1,0)</f>
        <v>26</v>
      </c>
      <c r="H27" s="115">
        <f>IF(ISNUMBER(SEARCH('Карта учёта'!$B$16,Расходка[[#This Row],[Наименование расходного материала]])),MAX($H$1:H26)+1,0)</f>
        <v>26</v>
      </c>
      <c r="I27" s="115">
        <f>IF(ISNUMBER(SEARCH('Карта учёта'!$B$17,Расходка[[#This Row],[Наименование расходного материала]])),MAX($I$1:I26)+1,0)</f>
        <v>26</v>
      </c>
      <c r="J27" s="115">
        <f>IF(ISNUMBER(SEARCH('Карта учёта'!$B$18,Расходка[[#This Row],[Наименование расходного материала]])),MAX($J$1:J26)+1,0)</f>
        <v>26</v>
      </c>
      <c r="K27" s="115">
        <f>IF(ISNUMBER(SEARCH('Карта учёта'!$B$19,Расходка[[#This Row],[Наименование расходного материала]])),MAX($K$1:K26)+1,0)</f>
        <v>26</v>
      </c>
      <c r="L27" s="115">
        <f>IF(ISNUMBER(SEARCH('Карта учёта'!$B$20,Расходка[[#This Row],[Наименование расходного материала]])),MAX($L$1:L26)+1,0)</f>
        <v>26</v>
      </c>
      <c r="M27" s="115">
        <f>IF(ISNUMBER(SEARCH('Карта учёта'!$B$21,Расходка[[#This Row],[Наименование расходного материала]])),MAX($M$1:M26)+1,0)</f>
        <v>26</v>
      </c>
      <c r="N27" s="115">
        <f>IF(ISNUMBER(SEARCH('Карта учёта'!$B$22,Расходка[[#This Row],[Наименование расходного материала]])),MAX($N$1:N26)+1,0)</f>
        <v>26</v>
      </c>
      <c r="O27" s="115">
        <f>IF(ISNUMBER(SEARCH('Карта учёта'!$B$23,Расходка[[#This Row],[Наименование расходного материала]])),MAX($O$1:O26)+1,0)</f>
        <v>26</v>
      </c>
      <c r="P27" s="115">
        <f>IF(ISNUMBER(SEARCH('Карта учёта'!$B$24,Расходка[[#This Row],[Наименование расходного материала]])),MAX($P$1:P26)+1,0)</f>
        <v>26</v>
      </c>
      <c r="Q27" s="115">
        <f>IF(ISNUMBER(SEARCH('Карта учёта'!$B$25,Расходка[[#This Row],[Наименование расходного материала]])),MAX($Q$1:Q26)+1,0)</f>
        <v>26</v>
      </c>
      <c r="R27" s="114" t="str">
        <f>IFERROR(INDEX(Расходка[Наименование расходного материала],MATCH(Расходка[[#This Row],[№]],Поиск_расходки[Индекс1],0)),"")</f>
        <v/>
      </c>
      <c r="S27" s="114" t="str">
        <f>IFERROR(INDEX(Расходка[Наименование расходного материала],MATCH(Расходка[[#This Row],[№]],Поиск_расходки[Индекс2],0)),"")</f>
        <v/>
      </c>
      <c r="T27" s="114" t="str">
        <f>IFERROR(INDEX(Расходка[Наименование расходного материала],MATCH(Расходка[[#This Row],[№]],Поиск_расходки[Индекс3],0)),"")</f>
        <v>Cougar LS Hydro-Track®</v>
      </c>
      <c r="U27" s="114" t="str">
        <f>IFERROR(INDEX(Расходка[Наименование расходного материала],MATCH(Расходка[[#This Row],[№]],Поиск_расходки[Индекс4],0)),"")</f>
        <v>Cougar LS Hydro-Track®</v>
      </c>
      <c r="V27" s="114" t="str">
        <f>IFERROR(INDEX(Расходка[Наименование расходного материала],MATCH(Расходка[[#This Row],[№]],Поиск_расходки[Индекс5],0)),"")</f>
        <v>Cougar LS Hydro-Track®</v>
      </c>
      <c r="W27" s="114" t="str">
        <f>IFERROR(INDEX(Расходка[Наименование расходного материала],MATCH(Расходка[[#This Row],[№]],Поиск_расходки[Индекс6],0)),"")</f>
        <v>Cougar LS Hydro-Track®</v>
      </c>
      <c r="X27" s="114" t="str">
        <f>IFERROR(INDEX(Расходка[Наименование расходного материала],MATCH(Расходка[[#This Row],[№]],Поиск_расходки[Индекс7],0)),"")</f>
        <v>Cougar LS Hydro-Track®</v>
      </c>
      <c r="Y27" s="114" t="str">
        <f>IFERROR(INDEX(Расходка[Наименование расходного материала],MATCH(Расходка[[#This Row],[№]],Поиск_расходки[Индекс8],0)),"")</f>
        <v>Cougar LS Hydro-Track®</v>
      </c>
      <c r="Z27" s="114" t="str">
        <f>IFERROR(INDEX(Расходка[Наименование расходного материала],MATCH(Расходка[[#This Row],[№]],Поиск_расходки[Индекс9],0)),"")</f>
        <v>Cougar LS Hydro-Track®</v>
      </c>
      <c r="AA27" s="114" t="str">
        <f>IFERROR(INDEX(Расходка[Наименование расходного материала],MATCH(Расходка[[#This Row],[№]],Поиск_расходки[Индекс10],0)),"")</f>
        <v>Cougar LS Hydro-Track®</v>
      </c>
      <c r="AB27" s="114" t="str">
        <f>IFERROR(INDEX(Расходка[Наименование расходного материала],MATCH(Расходка[[#This Row],[№]],Поиск_расходки[Индекс11],0)),"")</f>
        <v>Cougar LS Hydro-Track®</v>
      </c>
      <c r="AC27" s="114" t="str">
        <f>IFERROR(INDEX(Расходка[Наименование расходного материала],MATCH(Расходка[[#This Row],[№]],Поиск_расходки[Индекс12],0)),"")</f>
        <v>Cougar LS Hydro-Track®</v>
      </c>
      <c r="AD27" s="114" t="str">
        <f>IFERROR(INDEX(Расходка[Наименование расходного материала],MATCH(Расходка[[#This Row],[№]],Поиск_расходки[Индекс13],0)),"")</f>
        <v>Cougar LS Hydro-Track®</v>
      </c>
      <c r="AF27" s="4" t="s">
        <v>5</v>
      </c>
      <c r="AG27" s="4" t="s">
        <v>424</v>
      </c>
    </row>
    <row r="28" spans="1:35">
      <c r="A28">
        <f>ROW(Расходка[[#This Row],[Тип расходного материала ]])-1</f>
        <v>27</v>
      </c>
      <c r="B28" t="s">
        <v>3</v>
      </c>
      <c r="C28" t="s">
        <v>341</v>
      </c>
      <c r="E28" s="115">
        <f>IF(ISNUMBER(SEARCH('Карта учёта'!$B$13,Расходка[[#This Row],[Наименование расходного материала]])),MAX($E$1:E27)+1,0)</f>
        <v>0</v>
      </c>
      <c r="F28" s="115">
        <f>IF(ISNUMBER(SEARCH('Карта учёта'!$B$14,Расходка[[#This Row],[Наименование расходного материала]])),MAX($F$1:F27)+1,0)</f>
        <v>0</v>
      </c>
      <c r="G28" s="115">
        <f>IF(ISNUMBER(SEARCH('Карта учёта'!$B$15,Расходка[[#This Row],[Наименование расходного материала]])),MAX($G$1:G27)+1,0)</f>
        <v>27</v>
      </c>
      <c r="H28" s="115">
        <f>IF(ISNUMBER(SEARCH('Карта учёта'!$B$16,Расходка[[#This Row],[Наименование расходного материала]])),MAX($H$1:H27)+1,0)</f>
        <v>27</v>
      </c>
      <c r="I28" s="115">
        <f>IF(ISNUMBER(SEARCH('Карта учёта'!$B$17,Расходка[[#This Row],[Наименование расходного материала]])),MAX($I$1:I27)+1,0)</f>
        <v>27</v>
      </c>
      <c r="J28" s="115">
        <f>IF(ISNUMBER(SEARCH('Карта учёта'!$B$18,Расходка[[#This Row],[Наименование расходного материала]])),MAX($J$1:J27)+1,0)</f>
        <v>27</v>
      </c>
      <c r="K28" s="115">
        <f>IF(ISNUMBER(SEARCH('Карта учёта'!$B$19,Расходка[[#This Row],[Наименование расходного материала]])),MAX($K$1:K27)+1,0)</f>
        <v>27</v>
      </c>
      <c r="L28" s="115">
        <f>IF(ISNUMBER(SEARCH('Карта учёта'!$B$20,Расходка[[#This Row],[Наименование расходного материала]])),MAX($L$1:L27)+1,0)</f>
        <v>27</v>
      </c>
      <c r="M28" s="115">
        <f>IF(ISNUMBER(SEARCH('Карта учёта'!$B$21,Расходка[[#This Row],[Наименование расходного материала]])),MAX($M$1:M27)+1,0)</f>
        <v>27</v>
      </c>
      <c r="N28" s="115">
        <f>IF(ISNUMBER(SEARCH('Карта учёта'!$B$22,Расходка[[#This Row],[Наименование расходного материала]])),MAX($N$1:N27)+1,0)</f>
        <v>27</v>
      </c>
      <c r="O28" s="115">
        <f>IF(ISNUMBER(SEARCH('Карта учёта'!$B$23,Расходка[[#This Row],[Наименование расходного материала]])),MAX($O$1:O27)+1,0)</f>
        <v>27</v>
      </c>
      <c r="P28" s="115">
        <f>IF(ISNUMBER(SEARCH('Карта учёта'!$B$24,Расходка[[#This Row],[Наименование расходного материала]])),MAX($P$1:P27)+1,0)</f>
        <v>27</v>
      </c>
      <c r="Q28" s="115">
        <f>IF(ISNUMBER(SEARCH('Карта учёта'!$B$25,Расходка[[#This Row],[Наименование расходного материала]])),MAX($Q$1:Q27)+1,0)</f>
        <v>27</v>
      </c>
      <c r="R28" s="114" t="str">
        <f>IFERROR(INDEX(Расходка[Наименование расходного материала],MATCH(Расходка[[#This Row],[№]],Поиск_расходки[Индекс1],0)),"")</f>
        <v/>
      </c>
      <c r="S28" s="114" t="str">
        <f>IFERROR(INDEX(Расходка[Наименование расходного материала],MATCH(Расходка[[#This Row],[№]],Поиск_расходки[Индекс2],0)),"")</f>
        <v/>
      </c>
      <c r="T28" s="114" t="str">
        <f>IFERROR(INDEX(Расходка[Наименование расходного материала],MATCH(Расходка[[#This Row],[№]],Поиск_расходки[Индекс3],0)),"")</f>
        <v>Cougar XT Hydro-Track®</v>
      </c>
      <c r="U28" s="114" t="str">
        <f>IFERROR(INDEX(Расходка[Наименование расходного материала],MATCH(Расходка[[#This Row],[№]],Поиск_расходки[Индекс4],0)),"")</f>
        <v>Cougar XT Hydro-Track®</v>
      </c>
      <c r="V28" s="114" t="str">
        <f>IFERROR(INDEX(Расходка[Наименование расходного материала],MATCH(Расходка[[#This Row],[№]],Поиск_расходки[Индекс5],0)),"")</f>
        <v>Cougar XT Hydro-Track®</v>
      </c>
      <c r="W28" s="114" t="str">
        <f>IFERROR(INDEX(Расходка[Наименование расходного материала],MATCH(Расходка[[#This Row],[№]],Поиск_расходки[Индекс6],0)),"")</f>
        <v>Cougar XT Hydro-Track®</v>
      </c>
      <c r="X28" s="114" t="str">
        <f>IFERROR(INDEX(Расходка[Наименование расходного материала],MATCH(Расходка[[#This Row],[№]],Поиск_расходки[Индекс7],0)),"")</f>
        <v>Cougar XT Hydro-Track®</v>
      </c>
      <c r="Y28" s="114" t="str">
        <f>IFERROR(INDEX(Расходка[Наименование расходного материала],MATCH(Расходка[[#This Row],[№]],Поиск_расходки[Индекс8],0)),"")</f>
        <v>Cougar XT Hydro-Track®</v>
      </c>
      <c r="Z28" s="114" t="str">
        <f>IFERROR(INDEX(Расходка[Наименование расходного материала],MATCH(Расходка[[#This Row],[№]],Поиск_расходки[Индекс9],0)),"")</f>
        <v>Cougar XT Hydro-Track®</v>
      </c>
      <c r="AA28" s="114" t="str">
        <f>IFERROR(INDEX(Расходка[Наименование расходного материала],MATCH(Расходка[[#This Row],[№]],Поиск_расходки[Индекс10],0)),"")</f>
        <v>Cougar XT Hydro-Track®</v>
      </c>
      <c r="AB28" s="114" t="str">
        <f>IFERROR(INDEX(Расходка[Наименование расходного материала],MATCH(Расходка[[#This Row],[№]],Поиск_расходки[Индекс11],0)),"")</f>
        <v>Cougar XT Hydro-Track®</v>
      </c>
      <c r="AC28" s="114" t="str">
        <f>IFERROR(INDEX(Расходка[Наименование расходного материала],MATCH(Расходка[[#This Row],[№]],Поиск_расходки[Индекс12],0)),"")</f>
        <v>Cougar XT Hydro-Track®</v>
      </c>
      <c r="AD28" s="114" t="str">
        <f>IFERROR(INDEX(Расходка[Наименование расходного материала],MATCH(Расходка[[#This Row],[№]],Поиск_расходки[Индекс13],0)),"")</f>
        <v>Cougar XT Hydro-Track®</v>
      </c>
      <c r="AF28" s="4" t="s">
        <v>5</v>
      </c>
      <c r="AG28" s="4" t="s">
        <v>425</v>
      </c>
    </row>
    <row r="29" spans="1:35">
      <c r="A29">
        <f>ROW(Расходка[[#This Row],[Тип расходного материала ]])-1</f>
        <v>28</v>
      </c>
      <c r="B29" t="s">
        <v>3</v>
      </c>
      <c r="C29" t="s">
        <v>313</v>
      </c>
      <c r="E29" s="115">
        <f>IF(ISNUMBER(SEARCH('Карта учёта'!$B$13,Расходка[[#This Row],[Наименование расходного материала]])),MAX($E$1:E28)+1,0)</f>
        <v>0</v>
      </c>
      <c r="F29" s="115">
        <f>IF(ISNUMBER(SEARCH('Карта учёта'!$B$14,Расходка[[#This Row],[Наименование расходного материала]])),MAX($F$1:F28)+1,0)</f>
        <v>0</v>
      </c>
      <c r="G29" s="115">
        <f>IF(ISNUMBER(SEARCH('Карта учёта'!$B$15,Расходка[[#This Row],[Наименование расходного материала]])),MAX($G$1:G28)+1,0)</f>
        <v>28</v>
      </c>
      <c r="H29" s="115">
        <f>IF(ISNUMBER(SEARCH('Карта учёта'!$B$16,Расходка[[#This Row],[Наименование расходного материала]])),MAX($H$1:H28)+1,0)</f>
        <v>28</v>
      </c>
      <c r="I29" s="115">
        <f>IF(ISNUMBER(SEARCH('Карта учёта'!$B$17,Расходка[[#This Row],[Наименование расходного материала]])),MAX($I$1:I28)+1,0)</f>
        <v>28</v>
      </c>
      <c r="J29" s="115">
        <f>IF(ISNUMBER(SEARCH('Карта учёта'!$B$18,Расходка[[#This Row],[Наименование расходного материала]])),MAX($J$1:J28)+1,0)</f>
        <v>28</v>
      </c>
      <c r="K29" s="115">
        <f>IF(ISNUMBER(SEARCH('Карта учёта'!$B$19,Расходка[[#This Row],[Наименование расходного материала]])),MAX($K$1:K28)+1,0)</f>
        <v>28</v>
      </c>
      <c r="L29" s="115">
        <f>IF(ISNUMBER(SEARCH('Карта учёта'!$B$20,Расходка[[#This Row],[Наименование расходного материала]])),MAX($L$1:L28)+1,0)</f>
        <v>28</v>
      </c>
      <c r="M29" s="115">
        <f>IF(ISNUMBER(SEARCH('Карта учёта'!$B$21,Расходка[[#This Row],[Наименование расходного материала]])),MAX($M$1:M28)+1,0)</f>
        <v>28</v>
      </c>
      <c r="N29" s="115">
        <f>IF(ISNUMBER(SEARCH('Карта учёта'!$B$22,Расходка[[#This Row],[Наименование расходного материала]])),MAX($N$1:N28)+1,0)</f>
        <v>28</v>
      </c>
      <c r="O29" s="115">
        <f>IF(ISNUMBER(SEARCH('Карта учёта'!$B$23,Расходка[[#This Row],[Наименование расходного материала]])),MAX($O$1:O28)+1,0)</f>
        <v>28</v>
      </c>
      <c r="P29" s="115">
        <f>IF(ISNUMBER(SEARCH('Карта учёта'!$B$24,Расходка[[#This Row],[Наименование расходного материала]])),MAX($P$1:P28)+1,0)</f>
        <v>28</v>
      </c>
      <c r="Q29" s="115">
        <f>IF(ISNUMBER(SEARCH('Карта учёта'!$B$25,Расходка[[#This Row],[Наименование расходного материала]])),MAX($Q$1:Q28)+1,0)</f>
        <v>28</v>
      </c>
      <c r="R29" s="114" t="str">
        <f>IFERROR(INDEX(Расходка[Наименование расходного материала],MATCH(Расходка[[#This Row],[№]],Поиск_расходки[Индекс1],0)),"")</f>
        <v/>
      </c>
      <c r="S29" s="114" t="str">
        <f>IFERROR(INDEX(Расходка[Наименование расходного материала],MATCH(Расходка[[#This Row],[№]],Поиск_расходки[Индекс2],0)),"")</f>
        <v/>
      </c>
      <c r="T29" s="114" t="str">
        <f>IFERROR(INDEX(Расходка[Наименование расходного материала],MATCH(Расходка[[#This Row],[№]],Поиск_расходки[Индекс3],0)),"")</f>
        <v>Fielder</v>
      </c>
      <c r="U29" s="114" t="str">
        <f>IFERROR(INDEX(Расходка[Наименование расходного материала],MATCH(Расходка[[#This Row],[№]],Поиск_расходки[Индекс4],0)),"")</f>
        <v>Fielder</v>
      </c>
      <c r="V29" s="114" t="str">
        <f>IFERROR(INDEX(Расходка[Наименование расходного материала],MATCH(Расходка[[#This Row],[№]],Поиск_расходки[Индекс5],0)),"")</f>
        <v>Fielder</v>
      </c>
      <c r="W29" s="114" t="str">
        <f>IFERROR(INDEX(Расходка[Наименование расходного материала],MATCH(Расходка[[#This Row],[№]],Поиск_расходки[Индекс6],0)),"")</f>
        <v>Fielder</v>
      </c>
      <c r="X29" s="114" t="str">
        <f>IFERROR(INDEX(Расходка[Наименование расходного материала],MATCH(Расходка[[#This Row],[№]],Поиск_расходки[Индекс7],0)),"")</f>
        <v>Fielder</v>
      </c>
      <c r="Y29" s="114" t="str">
        <f>IFERROR(INDEX(Расходка[Наименование расходного материала],MATCH(Расходка[[#This Row],[№]],Поиск_расходки[Индекс8],0)),"")</f>
        <v>Fielder</v>
      </c>
      <c r="Z29" s="114" t="str">
        <f>IFERROR(INDEX(Расходка[Наименование расходного материала],MATCH(Расходка[[#This Row],[№]],Поиск_расходки[Индекс9],0)),"")</f>
        <v>Fielder</v>
      </c>
      <c r="AA29" s="114" t="str">
        <f>IFERROR(INDEX(Расходка[Наименование расходного материала],MATCH(Расходка[[#This Row],[№]],Поиск_расходки[Индекс10],0)),"")</f>
        <v>Fielder</v>
      </c>
      <c r="AB29" s="114" t="str">
        <f>IFERROR(INDEX(Расходка[Наименование расходного материала],MATCH(Расходка[[#This Row],[№]],Поиск_расходки[Индекс11],0)),"")</f>
        <v>Fielder</v>
      </c>
      <c r="AC29" s="114" t="str">
        <f>IFERROR(INDEX(Расходка[Наименование расходного материала],MATCH(Расходка[[#This Row],[№]],Поиск_расходки[Индекс12],0)),"")</f>
        <v>Fielder</v>
      </c>
      <c r="AD29" s="114" t="str">
        <f>IFERROR(INDEX(Расходка[Наименование расходного материала],MATCH(Расходка[[#This Row],[№]],Поиск_расходки[Индекс13],0)),"")</f>
        <v>Fielder</v>
      </c>
      <c r="AF29" s="4" t="s">
        <v>5</v>
      </c>
      <c r="AG29" s="4" t="s">
        <v>426</v>
      </c>
    </row>
    <row r="30" spans="1:35">
      <c r="A30">
        <f>ROW(Расходка[[#This Row],[Тип расходного материала ]])-1</f>
        <v>29</v>
      </c>
      <c r="B30" t="s">
        <v>3</v>
      </c>
      <c r="C30" t="s">
        <v>371</v>
      </c>
      <c r="E30" s="115">
        <f>IF(ISNUMBER(SEARCH('Карта учёта'!$B$13,Расходка[[#This Row],[Наименование расходного материала]])),MAX($E$1:E29)+1,0)</f>
        <v>0</v>
      </c>
      <c r="F30" s="115">
        <f>IF(ISNUMBER(SEARCH('Карта учёта'!$B$14,Расходка[[#This Row],[Наименование расходного материала]])),MAX($F$1:F29)+1,0)</f>
        <v>0</v>
      </c>
      <c r="G30" s="115">
        <f>IF(ISNUMBER(SEARCH('Карта учёта'!$B$15,Расходка[[#This Row],[Наименование расходного материала]])),MAX($G$1:G29)+1,0)</f>
        <v>29</v>
      </c>
      <c r="H30" s="115">
        <f>IF(ISNUMBER(SEARCH('Карта учёта'!$B$16,Расходка[[#This Row],[Наименование расходного материала]])),MAX($H$1:H29)+1,0)</f>
        <v>29</v>
      </c>
      <c r="I30" s="115">
        <f>IF(ISNUMBER(SEARCH('Карта учёта'!$B$17,Расходка[[#This Row],[Наименование расходного материала]])),MAX($I$1:I29)+1,0)</f>
        <v>29</v>
      </c>
      <c r="J30" s="115">
        <f>IF(ISNUMBER(SEARCH('Карта учёта'!$B$18,Расходка[[#This Row],[Наименование расходного материала]])),MAX($J$1:J29)+1,0)</f>
        <v>29</v>
      </c>
      <c r="K30" s="115">
        <f>IF(ISNUMBER(SEARCH('Карта учёта'!$B$19,Расходка[[#This Row],[Наименование расходного материала]])),MAX($K$1:K29)+1,0)</f>
        <v>29</v>
      </c>
      <c r="L30" s="115">
        <f>IF(ISNUMBER(SEARCH('Карта учёта'!$B$20,Расходка[[#This Row],[Наименование расходного материала]])),MAX($L$1:L29)+1,0)</f>
        <v>29</v>
      </c>
      <c r="M30" s="115">
        <f>IF(ISNUMBER(SEARCH('Карта учёта'!$B$21,Расходка[[#This Row],[Наименование расходного материала]])),MAX($M$1:M29)+1,0)</f>
        <v>29</v>
      </c>
      <c r="N30" s="115">
        <f>IF(ISNUMBER(SEARCH('Карта учёта'!$B$22,Расходка[[#This Row],[Наименование расходного материала]])),MAX($N$1:N29)+1,0)</f>
        <v>29</v>
      </c>
      <c r="O30" s="115">
        <f>IF(ISNUMBER(SEARCH('Карта учёта'!$B$23,Расходка[[#This Row],[Наименование расходного материала]])),MAX($O$1:O29)+1,0)</f>
        <v>29</v>
      </c>
      <c r="P30" s="115">
        <f>IF(ISNUMBER(SEARCH('Карта учёта'!$B$24,Расходка[[#This Row],[Наименование расходного материала]])),MAX($P$1:P29)+1,0)</f>
        <v>29</v>
      </c>
      <c r="Q30" s="115">
        <f>IF(ISNUMBER(SEARCH('Карта учёта'!$B$25,Расходка[[#This Row],[Наименование расходного материала]])),MAX($Q$1:Q29)+1,0)</f>
        <v>29</v>
      </c>
      <c r="R30" s="114" t="str">
        <f>IFERROR(INDEX(Расходка[Наименование расходного материала],MATCH(Расходка[[#This Row],[№]],Поиск_расходки[Индекс1],0)),"")</f>
        <v/>
      </c>
      <c r="S30" s="114" t="str">
        <f>IFERROR(INDEX(Расходка[Наименование расходного материала],MATCH(Расходка[[#This Row],[№]],Поиск_расходки[Индекс2],0)),"")</f>
        <v/>
      </c>
      <c r="T30" s="114" t="str">
        <f>IFERROR(INDEX(Расходка[Наименование расходного материала],MATCH(Расходка[[#This Row],[№]],Поиск_расходки[Индекс3],0)),"")</f>
        <v>Fielder XT-A</v>
      </c>
      <c r="U30" s="114" t="str">
        <f>IFERROR(INDEX(Расходка[Наименование расходного материала],MATCH(Расходка[[#This Row],[№]],Поиск_расходки[Индекс4],0)),"")</f>
        <v>Fielder XT-A</v>
      </c>
      <c r="V30" s="114" t="str">
        <f>IFERROR(INDEX(Расходка[Наименование расходного материала],MATCH(Расходка[[#This Row],[№]],Поиск_расходки[Индекс5],0)),"")</f>
        <v>Fielder XT-A</v>
      </c>
      <c r="W30" s="114" t="str">
        <f>IFERROR(INDEX(Расходка[Наименование расходного материала],MATCH(Расходка[[#This Row],[№]],Поиск_расходки[Индекс6],0)),"")</f>
        <v>Fielder XT-A</v>
      </c>
      <c r="X30" s="114" t="str">
        <f>IFERROR(INDEX(Расходка[Наименование расходного материала],MATCH(Расходка[[#This Row],[№]],Поиск_расходки[Индекс7],0)),"")</f>
        <v>Fielder XT-A</v>
      </c>
      <c r="Y30" s="114" t="str">
        <f>IFERROR(INDEX(Расходка[Наименование расходного материала],MATCH(Расходка[[#This Row],[№]],Поиск_расходки[Индекс8],0)),"")</f>
        <v>Fielder XT-A</v>
      </c>
      <c r="Z30" s="114" t="str">
        <f>IFERROR(INDEX(Расходка[Наименование расходного материала],MATCH(Расходка[[#This Row],[№]],Поиск_расходки[Индекс9],0)),"")</f>
        <v>Fielder XT-A</v>
      </c>
      <c r="AA30" s="114" t="str">
        <f>IFERROR(INDEX(Расходка[Наименование расходного материала],MATCH(Расходка[[#This Row],[№]],Поиск_расходки[Индекс10],0)),"")</f>
        <v>Fielder XT-A</v>
      </c>
      <c r="AB30" s="114" t="str">
        <f>IFERROR(INDEX(Расходка[Наименование расходного материала],MATCH(Расходка[[#This Row],[№]],Поиск_расходки[Индекс11],0)),"")</f>
        <v>Fielder XT-A</v>
      </c>
      <c r="AC30" s="114" t="str">
        <f>IFERROR(INDEX(Расходка[Наименование расходного материала],MATCH(Расходка[[#This Row],[№]],Поиск_расходки[Индекс12],0)),"")</f>
        <v>Fielder XT-A</v>
      </c>
      <c r="AD30" s="114" t="str">
        <f>IFERROR(INDEX(Расходка[Наименование расходного материала],MATCH(Расходка[[#This Row],[№]],Поиск_расходки[Индекс13],0)),"")</f>
        <v>Fielder XT-A</v>
      </c>
      <c r="AF30" s="4" t="s">
        <v>5</v>
      </c>
      <c r="AG30" s="4" t="s">
        <v>488</v>
      </c>
    </row>
    <row r="31" spans="1:35">
      <c r="A31">
        <f>ROW(Расходка[[#This Row],[Тип расходного материала ]])-1</f>
        <v>30</v>
      </c>
      <c r="B31" t="s">
        <v>3</v>
      </c>
      <c r="C31" t="s">
        <v>372</v>
      </c>
      <c r="E31" s="115">
        <f>IF(ISNUMBER(SEARCH('Карта учёта'!$B$13,Расходка[[#This Row],[Наименование расходного материала]])),MAX($E$1:E30)+1,0)</f>
        <v>0</v>
      </c>
      <c r="F31" s="115">
        <f>IF(ISNUMBER(SEARCH('Карта учёта'!$B$14,Расходка[[#This Row],[Наименование расходного материала]])),MAX($F$1:F30)+1,0)</f>
        <v>0</v>
      </c>
      <c r="G31" s="115">
        <f>IF(ISNUMBER(SEARCH('Карта учёта'!$B$15,Расходка[[#This Row],[Наименование расходного материала]])),MAX($G$1:G30)+1,0)</f>
        <v>30</v>
      </c>
      <c r="H31" s="115">
        <f>IF(ISNUMBER(SEARCH('Карта учёта'!$B$16,Расходка[[#This Row],[Наименование расходного материала]])),MAX($H$1:H30)+1,0)</f>
        <v>30</v>
      </c>
      <c r="I31" s="115">
        <f>IF(ISNUMBER(SEARCH('Карта учёта'!$B$17,Расходка[[#This Row],[Наименование расходного материала]])),MAX($I$1:I30)+1,0)</f>
        <v>30</v>
      </c>
      <c r="J31" s="115">
        <f>IF(ISNUMBER(SEARCH('Карта учёта'!$B$18,Расходка[[#This Row],[Наименование расходного материала]])),MAX($J$1:J30)+1,0)</f>
        <v>30</v>
      </c>
      <c r="K31" s="115">
        <f>IF(ISNUMBER(SEARCH('Карта учёта'!$B$19,Расходка[[#This Row],[Наименование расходного материала]])),MAX($K$1:K30)+1,0)</f>
        <v>30</v>
      </c>
      <c r="L31" s="115">
        <f>IF(ISNUMBER(SEARCH('Карта учёта'!$B$20,Расходка[[#This Row],[Наименование расходного материала]])),MAX($L$1:L30)+1,0)</f>
        <v>30</v>
      </c>
      <c r="M31" s="115">
        <f>IF(ISNUMBER(SEARCH('Карта учёта'!$B$21,Расходка[[#This Row],[Наименование расходного материала]])),MAX($M$1:M30)+1,0)</f>
        <v>30</v>
      </c>
      <c r="N31" s="115">
        <f>IF(ISNUMBER(SEARCH('Карта учёта'!$B$22,Расходка[[#This Row],[Наименование расходного материала]])),MAX($N$1:N30)+1,0)</f>
        <v>30</v>
      </c>
      <c r="O31" s="115">
        <f>IF(ISNUMBER(SEARCH('Карта учёта'!$B$23,Расходка[[#This Row],[Наименование расходного материала]])),MAX($O$1:O30)+1,0)</f>
        <v>30</v>
      </c>
      <c r="P31" s="115">
        <f>IF(ISNUMBER(SEARCH('Карта учёта'!$B$24,Расходка[[#This Row],[Наименование расходного материала]])),MAX($P$1:P30)+1,0)</f>
        <v>30</v>
      </c>
      <c r="Q31" s="115">
        <f>IF(ISNUMBER(SEARCH('Карта учёта'!$B$25,Расходка[[#This Row],[Наименование расходного материала]])),MAX($Q$1:Q30)+1,0)</f>
        <v>30</v>
      </c>
      <c r="R31" s="114" t="str">
        <f>IFERROR(INDEX(Расходка[Наименование расходного материала],MATCH(Расходка[[#This Row],[№]],Поиск_расходки[Индекс1],0)),"")</f>
        <v/>
      </c>
      <c r="S31" s="114" t="str">
        <f>IFERROR(INDEX(Расходка[Наименование расходного материала],MATCH(Расходка[[#This Row],[№]],Поиск_расходки[Индекс2],0)),"")</f>
        <v/>
      </c>
      <c r="T31" s="114" t="str">
        <f>IFERROR(INDEX(Расходка[Наименование расходного материала],MATCH(Расходка[[#This Row],[№]],Поиск_расходки[Индекс3],0)),"")</f>
        <v>Fielder XT-R</v>
      </c>
      <c r="U31" s="114" t="str">
        <f>IFERROR(INDEX(Расходка[Наименование расходного материала],MATCH(Расходка[[#This Row],[№]],Поиск_расходки[Индекс4],0)),"")</f>
        <v>Fielder XT-R</v>
      </c>
      <c r="V31" s="114" t="str">
        <f>IFERROR(INDEX(Расходка[Наименование расходного материала],MATCH(Расходка[[#This Row],[№]],Поиск_расходки[Индекс5],0)),"")</f>
        <v>Fielder XT-R</v>
      </c>
      <c r="W31" s="114" t="str">
        <f>IFERROR(INDEX(Расходка[Наименование расходного материала],MATCH(Расходка[[#This Row],[№]],Поиск_расходки[Индекс6],0)),"")</f>
        <v>Fielder XT-R</v>
      </c>
      <c r="X31" s="114" t="str">
        <f>IFERROR(INDEX(Расходка[Наименование расходного материала],MATCH(Расходка[[#This Row],[№]],Поиск_расходки[Индекс7],0)),"")</f>
        <v>Fielder XT-R</v>
      </c>
      <c r="Y31" s="114" t="str">
        <f>IFERROR(INDEX(Расходка[Наименование расходного материала],MATCH(Расходка[[#This Row],[№]],Поиск_расходки[Индекс8],0)),"")</f>
        <v>Fielder XT-R</v>
      </c>
      <c r="Z31" s="114" t="str">
        <f>IFERROR(INDEX(Расходка[Наименование расходного материала],MATCH(Расходка[[#This Row],[№]],Поиск_расходки[Индекс9],0)),"")</f>
        <v>Fielder XT-R</v>
      </c>
      <c r="AA31" s="114" t="str">
        <f>IFERROR(INDEX(Расходка[Наименование расходного материала],MATCH(Расходка[[#This Row],[№]],Поиск_расходки[Индекс10],0)),"")</f>
        <v>Fielder XT-R</v>
      </c>
      <c r="AB31" s="114" t="str">
        <f>IFERROR(INDEX(Расходка[Наименование расходного материала],MATCH(Расходка[[#This Row],[№]],Поиск_расходки[Индекс11],0)),"")</f>
        <v>Fielder XT-R</v>
      </c>
      <c r="AC31" s="114" t="str">
        <f>IFERROR(INDEX(Расходка[Наименование расходного материала],MATCH(Расходка[[#This Row],[№]],Поиск_расходки[Индекс12],0)),"")</f>
        <v>Fielder XT-R</v>
      </c>
      <c r="AD31" s="114" t="str">
        <f>IFERROR(INDEX(Расходка[Наименование расходного материала],MATCH(Расходка[[#This Row],[№]],Поиск_расходки[Индекс13],0)),"")</f>
        <v>Fielder XT-R</v>
      </c>
      <c r="AF31" s="4" t="s">
        <v>5</v>
      </c>
      <c r="AG31" s="4" t="s">
        <v>427</v>
      </c>
    </row>
    <row r="32" spans="1:35">
      <c r="A32">
        <f>ROW(Расходка[[#This Row],[Тип расходного материала ]])-1</f>
        <v>31</v>
      </c>
      <c r="B32" t="s">
        <v>3</v>
      </c>
      <c r="C32" t="s">
        <v>509</v>
      </c>
      <c r="E32" s="115">
        <f>IF(ISNUMBER(SEARCH('Карта учёта'!$B$13,Расходка[[#This Row],[Наименование расходного материала]])),MAX($E$1:E31)+1,0)</f>
        <v>0</v>
      </c>
      <c r="F32" s="115">
        <f>IF(ISNUMBER(SEARCH('Карта учёта'!$B$14,Расходка[[#This Row],[Наименование расходного материала]])),MAX($F$1:F31)+1,0)</f>
        <v>0</v>
      </c>
      <c r="G32" s="115">
        <f>IF(ISNUMBER(SEARCH('Карта учёта'!$B$15,Расходка[[#This Row],[Наименование расходного материала]])),MAX($G$1:G31)+1,0)</f>
        <v>31</v>
      </c>
      <c r="H32" s="115">
        <f>IF(ISNUMBER(SEARCH('Карта учёта'!$B$16,Расходка[[#This Row],[Наименование расходного материала]])),MAX($H$1:H31)+1,0)</f>
        <v>31</v>
      </c>
      <c r="I32" s="115">
        <f>IF(ISNUMBER(SEARCH('Карта учёта'!$B$17,Расходка[[#This Row],[Наименование расходного материала]])),MAX($I$1:I31)+1,0)</f>
        <v>31</v>
      </c>
      <c r="J32" s="115">
        <f>IF(ISNUMBER(SEARCH('Карта учёта'!$B$18,Расходка[[#This Row],[Наименование расходного материала]])),MAX($J$1:J31)+1,0)</f>
        <v>31</v>
      </c>
      <c r="K32" s="115">
        <f>IF(ISNUMBER(SEARCH('Карта учёта'!$B$19,Расходка[[#This Row],[Наименование расходного материала]])),MAX($K$1:K31)+1,0)</f>
        <v>31</v>
      </c>
      <c r="L32" s="115">
        <f>IF(ISNUMBER(SEARCH('Карта учёта'!$B$20,Расходка[[#This Row],[Наименование расходного материала]])),MAX($L$1:L31)+1,0)</f>
        <v>31</v>
      </c>
      <c r="M32" s="115">
        <f>IF(ISNUMBER(SEARCH('Карта учёта'!$B$21,Расходка[[#This Row],[Наименование расходного материала]])),MAX($M$1:M31)+1,0)</f>
        <v>31</v>
      </c>
      <c r="N32" s="115">
        <f>IF(ISNUMBER(SEARCH('Карта учёта'!$B$22,Расходка[[#This Row],[Наименование расходного материала]])),MAX($N$1:N31)+1,0)</f>
        <v>31</v>
      </c>
      <c r="O32" s="115">
        <f>IF(ISNUMBER(SEARCH('Карта учёта'!$B$23,Расходка[[#This Row],[Наименование расходного материала]])),MAX($O$1:O31)+1,0)</f>
        <v>31</v>
      </c>
      <c r="P32" s="115">
        <f>IF(ISNUMBER(SEARCH('Карта учёта'!$B$24,Расходка[[#This Row],[Наименование расходного материала]])),MAX($P$1:P31)+1,0)</f>
        <v>31</v>
      </c>
      <c r="Q32" s="115">
        <f>IF(ISNUMBER(SEARCH('Карта учёта'!$B$25,Расходка[[#This Row],[Наименование расходного материала]])),MAX($Q$1:Q31)+1,0)</f>
        <v>31</v>
      </c>
      <c r="R32" s="114" t="str">
        <f>IFERROR(INDEX(Расходка[Наименование расходного материала],MATCH(Расходка[[#This Row],[№]],Поиск_расходки[Индекс1],0)),"")</f>
        <v/>
      </c>
      <c r="S32" s="114" t="str">
        <f>IFERROR(INDEX(Расходка[Наименование расходного материала],MATCH(Расходка[[#This Row],[№]],Поиск_расходки[Индекс2],0)),"")</f>
        <v/>
      </c>
      <c r="T32" s="114" t="str">
        <f>IFERROR(INDEX(Расходка[Наименование расходного материала],MATCH(Расходка[[#This Row],[№]],Поиск_расходки[Индекс3],0)),"")</f>
        <v>Asahi Gaia First</v>
      </c>
      <c r="U32" s="114" t="str">
        <f>IFERROR(INDEX(Расходка[Наименование расходного материала],MATCH(Расходка[[#This Row],[№]],Поиск_расходки[Индекс4],0)),"")</f>
        <v>Asahi Gaia First</v>
      </c>
      <c r="V32" s="114" t="str">
        <f>IFERROR(INDEX(Расходка[Наименование расходного материала],MATCH(Расходка[[#This Row],[№]],Поиск_расходки[Индекс5],0)),"")</f>
        <v>Asahi Gaia First</v>
      </c>
      <c r="W32" s="114" t="str">
        <f>IFERROR(INDEX(Расходка[Наименование расходного материала],MATCH(Расходка[[#This Row],[№]],Поиск_расходки[Индекс6],0)),"")</f>
        <v>Asahi Gaia First</v>
      </c>
      <c r="X32" s="114" t="str">
        <f>IFERROR(INDEX(Расходка[Наименование расходного материала],MATCH(Расходка[[#This Row],[№]],Поиск_расходки[Индекс7],0)),"")</f>
        <v>Asahi Gaia First</v>
      </c>
      <c r="Y32" s="114" t="str">
        <f>IFERROR(INDEX(Расходка[Наименование расходного материала],MATCH(Расходка[[#This Row],[№]],Поиск_расходки[Индекс8],0)),"")</f>
        <v>Asahi Gaia First</v>
      </c>
      <c r="Z32" s="114" t="str">
        <f>IFERROR(INDEX(Расходка[Наименование расходного материала],MATCH(Расходка[[#This Row],[№]],Поиск_расходки[Индекс9],0)),"")</f>
        <v>Asahi Gaia First</v>
      </c>
      <c r="AA32" s="114" t="str">
        <f>IFERROR(INDEX(Расходка[Наименование расходного материала],MATCH(Расходка[[#This Row],[№]],Поиск_расходки[Индекс10],0)),"")</f>
        <v>Asahi Gaia First</v>
      </c>
      <c r="AB32" s="114" t="str">
        <f>IFERROR(INDEX(Расходка[Наименование расходного материала],MATCH(Расходка[[#This Row],[№]],Поиск_расходки[Индекс11],0)),"")</f>
        <v>Asahi Gaia First</v>
      </c>
      <c r="AC32" s="114" t="str">
        <f>IFERROR(INDEX(Расходка[Наименование расходного материала],MATCH(Расходка[[#This Row],[№]],Поиск_расходки[Индекс12],0)),"")</f>
        <v>Asahi Gaia First</v>
      </c>
      <c r="AD32" s="114" t="str">
        <f>IFERROR(INDEX(Расходка[Наименование расходного материала],MATCH(Расходка[[#This Row],[№]],Поиск_расходки[Индекс13],0)),"")</f>
        <v>Asahi Gaia First</v>
      </c>
      <c r="AF32" s="4" t="s">
        <v>5</v>
      </c>
      <c r="AG32" s="4" t="s">
        <v>428</v>
      </c>
    </row>
    <row r="33" spans="1:33">
      <c r="A33">
        <f>ROW(Расходка[[#This Row],[Тип расходного материала ]])-1</f>
        <v>32</v>
      </c>
      <c r="B33" t="s">
        <v>3</v>
      </c>
      <c r="C33" s="1" t="s">
        <v>510</v>
      </c>
      <c r="E33" s="115">
        <f>IF(ISNUMBER(SEARCH('Карта учёта'!$B$13,Расходка[[#This Row],[Наименование расходного материала]])),MAX($E$1:E32)+1,0)</f>
        <v>0</v>
      </c>
      <c r="F33" s="115">
        <f>IF(ISNUMBER(SEARCH('Карта учёта'!$B$14,Расходка[[#This Row],[Наименование расходного материала]])),MAX($F$1:F32)+1,0)</f>
        <v>0</v>
      </c>
      <c r="G33" s="115">
        <f>IF(ISNUMBER(SEARCH('Карта учёта'!$B$15,Расходка[[#This Row],[Наименование расходного материала]])),MAX($G$1:G32)+1,0)</f>
        <v>32</v>
      </c>
      <c r="H33" s="115">
        <f>IF(ISNUMBER(SEARCH('Карта учёта'!$B$16,Расходка[[#This Row],[Наименование расходного материала]])),MAX($H$1:H32)+1,0)</f>
        <v>32</v>
      </c>
      <c r="I33" s="115">
        <f>IF(ISNUMBER(SEARCH('Карта учёта'!$B$17,Расходка[[#This Row],[Наименование расходного материала]])),MAX($I$1:I32)+1,0)</f>
        <v>32</v>
      </c>
      <c r="J33" s="115">
        <f>IF(ISNUMBER(SEARCH('Карта учёта'!$B$18,Расходка[[#This Row],[Наименование расходного материала]])),MAX($J$1:J32)+1,0)</f>
        <v>32</v>
      </c>
      <c r="K33" s="115">
        <f>IF(ISNUMBER(SEARCH('Карта учёта'!$B$19,Расходка[[#This Row],[Наименование расходного материала]])),MAX($K$1:K32)+1,0)</f>
        <v>32</v>
      </c>
      <c r="L33" s="115">
        <f>IF(ISNUMBER(SEARCH('Карта учёта'!$B$20,Расходка[[#This Row],[Наименование расходного материала]])),MAX($L$1:L32)+1,0)</f>
        <v>32</v>
      </c>
      <c r="M33" s="115">
        <f>IF(ISNUMBER(SEARCH('Карта учёта'!$B$21,Расходка[[#This Row],[Наименование расходного материала]])),MAX($M$1:M32)+1,0)</f>
        <v>32</v>
      </c>
      <c r="N33" s="115">
        <f>IF(ISNUMBER(SEARCH('Карта учёта'!$B$22,Расходка[[#This Row],[Наименование расходного материала]])),MAX($N$1:N32)+1,0)</f>
        <v>32</v>
      </c>
      <c r="O33" s="115">
        <f>IF(ISNUMBER(SEARCH('Карта учёта'!$B$23,Расходка[[#This Row],[Наименование расходного материала]])),MAX($O$1:O32)+1,0)</f>
        <v>32</v>
      </c>
      <c r="P33" s="115">
        <f>IF(ISNUMBER(SEARCH('Карта учёта'!$B$24,Расходка[[#This Row],[Наименование расходного материала]])),MAX($P$1:P32)+1,0)</f>
        <v>32</v>
      </c>
      <c r="Q33" s="115">
        <f>IF(ISNUMBER(SEARCH('Карта учёта'!$B$25,Расходка[[#This Row],[Наименование расходного материала]])),MAX($Q$1:Q32)+1,0)</f>
        <v>32</v>
      </c>
      <c r="R33" s="114" t="str">
        <f>IFERROR(INDEX(Расходка[Наименование расходного материала],MATCH(Расходка[[#This Row],[№]],Поиск_расходки[Индекс1],0)),"")</f>
        <v/>
      </c>
      <c r="S33" s="114" t="str">
        <f>IFERROR(INDEX(Расходка[Наименование расходного материала],MATCH(Расходка[[#This Row],[№]],Поиск_расходки[Индекс2],0)),"")</f>
        <v/>
      </c>
      <c r="T33" s="114" t="str">
        <f>IFERROR(INDEX(Расходка[Наименование расходного материала],MATCH(Расходка[[#This Row],[№]],Поиск_расходки[Индекс3],0)),"")</f>
        <v>Asahi Gaia Second</v>
      </c>
      <c r="U33" s="114" t="str">
        <f>IFERROR(INDEX(Расходка[Наименование расходного материала],MATCH(Расходка[[#This Row],[№]],Поиск_расходки[Индекс4],0)),"")</f>
        <v>Asahi Gaia Second</v>
      </c>
      <c r="V33" s="114" t="str">
        <f>IFERROR(INDEX(Расходка[Наименование расходного материала],MATCH(Расходка[[#This Row],[№]],Поиск_расходки[Индекс5],0)),"")</f>
        <v>Asahi Gaia Second</v>
      </c>
      <c r="W33" s="114" t="str">
        <f>IFERROR(INDEX(Расходка[Наименование расходного материала],MATCH(Расходка[[#This Row],[№]],Поиск_расходки[Индекс6],0)),"")</f>
        <v>Asahi Gaia Second</v>
      </c>
      <c r="X33" s="114" t="str">
        <f>IFERROR(INDEX(Расходка[Наименование расходного материала],MATCH(Расходка[[#This Row],[№]],Поиск_расходки[Индекс7],0)),"")</f>
        <v>Asahi Gaia Second</v>
      </c>
      <c r="Y33" s="114" t="str">
        <f>IFERROR(INDEX(Расходка[Наименование расходного материала],MATCH(Расходка[[#This Row],[№]],Поиск_расходки[Индекс8],0)),"")</f>
        <v>Asahi Gaia Second</v>
      </c>
      <c r="Z33" s="114" t="str">
        <f>IFERROR(INDEX(Расходка[Наименование расходного материала],MATCH(Расходка[[#This Row],[№]],Поиск_расходки[Индекс9],0)),"")</f>
        <v>Asahi Gaia Second</v>
      </c>
      <c r="AA33" s="114" t="str">
        <f>IFERROR(INDEX(Расходка[Наименование расходного материала],MATCH(Расходка[[#This Row],[№]],Поиск_расходки[Индекс10],0)),"")</f>
        <v>Asahi Gaia Second</v>
      </c>
      <c r="AB33" s="114" t="str">
        <f>IFERROR(INDEX(Расходка[Наименование расходного материала],MATCH(Расходка[[#This Row],[№]],Поиск_расходки[Индекс11],0)),"")</f>
        <v>Asahi Gaia Second</v>
      </c>
      <c r="AC33" s="114" t="str">
        <f>IFERROR(INDEX(Расходка[Наименование расходного материала],MATCH(Расходка[[#This Row],[№]],Поиск_расходки[Индекс12],0)),"")</f>
        <v>Asahi Gaia Second</v>
      </c>
      <c r="AD33" s="114" t="str">
        <f>IFERROR(INDEX(Расходка[Наименование расходного материала],MATCH(Расходка[[#This Row],[№]],Поиск_расходки[Индекс13],0)),"")</f>
        <v>Asahi Gaia Second</v>
      </c>
      <c r="AF33" s="4" t="s">
        <v>5</v>
      </c>
      <c r="AG33" s="4" t="s">
        <v>429</v>
      </c>
    </row>
    <row r="34" spans="1:33">
      <c r="A34">
        <f>ROW(Расходка[[#This Row],[Тип расходного материала ]])-1</f>
        <v>33</v>
      </c>
      <c r="B34" t="s">
        <v>3</v>
      </c>
      <c r="C34" s="1" t="s">
        <v>511</v>
      </c>
      <c r="E34" s="115">
        <f>IF(ISNUMBER(SEARCH('Карта учёта'!$B$13,Расходка[[#This Row],[Наименование расходного материала]])),MAX($E$1:E33)+1,0)</f>
        <v>0</v>
      </c>
      <c r="F34" s="115">
        <f>IF(ISNUMBER(SEARCH('Карта учёта'!$B$14,Расходка[[#This Row],[Наименование расходного материала]])),MAX($F$1:F33)+1,0)</f>
        <v>0</v>
      </c>
      <c r="G34" s="115">
        <f>IF(ISNUMBER(SEARCH('Карта учёта'!$B$15,Расходка[[#This Row],[Наименование расходного материала]])),MAX($G$1:G33)+1,0)</f>
        <v>33</v>
      </c>
      <c r="H34" s="115">
        <f>IF(ISNUMBER(SEARCH('Карта учёта'!$B$16,Расходка[[#This Row],[Наименование расходного материала]])),MAX($H$1:H33)+1,0)</f>
        <v>33</v>
      </c>
      <c r="I34" s="115">
        <f>IF(ISNUMBER(SEARCH('Карта учёта'!$B$17,Расходка[[#This Row],[Наименование расходного материала]])),MAX($I$1:I33)+1,0)</f>
        <v>33</v>
      </c>
      <c r="J34" s="115">
        <f>IF(ISNUMBER(SEARCH('Карта учёта'!$B$18,Расходка[[#This Row],[Наименование расходного материала]])),MAX($J$1:J33)+1,0)</f>
        <v>33</v>
      </c>
      <c r="K34" s="115">
        <f>IF(ISNUMBER(SEARCH('Карта учёта'!$B$19,Расходка[[#This Row],[Наименование расходного материала]])),MAX($K$1:K33)+1,0)</f>
        <v>33</v>
      </c>
      <c r="L34" s="115">
        <f>IF(ISNUMBER(SEARCH('Карта учёта'!$B$20,Расходка[[#This Row],[Наименование расходного материала]])),MAX($L$1:L33)+1,0)</f>
        <v>33</v>
      </c>
      <c r="M34" s="115">
        <f>IF(ISNUMBER(SEARCH('Карта учёта'!$B$21,Расходка[[#This Row],[Наименование расходного материала]])),MAX($M$1:M33)+1,0)</f>
        <v>33</v>
      </c>
      <c r="N34" s="115">
        <f>IF(ISNUMBER(SEARCH('Карта учёта'!$B$22,Расходка[[#This Row],[Наименование расходного материала]])),MAX($N$1:N33)+1,0)</f>
        <v>33</v>
      </c>
      <c r="O34" s="115">
        <f>IF(ISNUMBER(SEARCH('Карта учёта'!$B$23,Расходка[[#This Row],[Наименование расходного материала]])),MAX($O$1:O33)+1,0)</f>
        <v>33</v>
      </c>
      <c r="P34" s="115">
        <f>IF(ISNUMBER(SEARCH('Карта учёта'!$B$24,Расходка[[#This Row],[Наименование расходного материала]])),MAX($P$1:P33)+1,0)</f>
        <v>33</v>
      </c>
      <c r="Q34" s="115">
        <f>IF(ISNUMBER(SEARCH('Карта учёта'!$B$25,Расходка[[#This Row],[Наименование расходного материала]])),MAX($Q$1:Q33)+1,0)</f>
        <v>33</v>
      </c>
      <c r="R34" s="114" t="str">
        <f>IFERROR(INDEX(Расходка[Наименование расходного материала],MATCH(Расходка[[#This Row],[№]],Поиск_расходки[Индекс1],0)),"")</f>
        <v/>
      </c>
      <c r="S34" s="114" t="str">
        <f>IFERROR(INDEX(Расходка[Наименование расходного материала],MATCH(Расходка[[#This Row],[№]],Поиск_расходки[Индекс2],0)),"")</f>
        <v/>
      </c>
      <c r="T34" s="114" t="str">
        <f>IFERROR(INDEX(Расходка[Наименование расходного материала],MATCH(Расходка[[#This Row],[№]],Поиск_расходки[Индекс3],0)),"")</f>
        <v>Asahi Gaia Third</v>
      </c>
      <c r="U34" s="114" t="str">
        <f>IFERROR(INDEX(Расходка[Наименование расходного материала],MATCH(Расходка[[#This Row],[№]],Поиск_расходки[Индекс4],0)),"")</f>
        <v>Asahi Gaia Third</v>
      </c>
      <c r="V34" s="114" t="str">
        <f>IFERROR(INDEX(Расходка[Наименование расходного материала],MATCH(Расходка[[#This Row],[№]],Поиск_расходки[Индекс5],0)),"")</f>
        <v>Asahi Gaia Third</v>
      </c>
      <c r="W34" s="114" t="str">
        <f>IFERROR(INDEX(Расходка[Наименование расходного материала],MATCH(Расходка[[#This Row],[№]],Поиск_расходки[Индекс6],0)),"")</f>
        <v>Asahi Gaia Third</v>
      </c>
      <c r="X34" s="114" t="str">
        <f>IFERROR(INDEX(Расходка[Наименование расходного материала],MATCH(Расходка[[#This Row],[№]],Поиск_расходки[Индекс7],0)),"")</f>
        <v>Asahi Gaia Third</v>
      </c>
      <c r="Y34" s="114" t="str">
        <f>IFERROR(INDEX(Расходка[Наименование расходного материала],MATCH(Расходка[[#This Row],[№]],Поиск_расходки[Индекс8],0)),"")</f>
        <v>Asahi Gaia Third</v>
      </c>
      <c r="Z34" s="114" t="str">
        <f>IFERROR(INDEX(Расходка[Наименование расходного материала],MATCH(Расходка[[#This Row],[№]],Поиск_расходки[Индекс9],0)),"")</f>
        <v>Asahi Gaia Third</v>
      </c>
      <c r="AA34" s="114" t="str">
        <f>IFERROR(INDEX(Расходка[Наименование расходного материала],MATCH(Расходка[[#This Row],[№]],Поиск_расходки[Индекс10],0)),"")</f>
        <v>Asahi Gaia Third</v>
      </c>
      <c r="AB34" s="114" t="str">
        <f>IFERROR(INDEX(Расходка[Наименование расходного материала],MATCH(Расходка[[#This Row],[№]],Поиск_расходки[Индекс11],0)),"")</f>
        <v>Asahi Gaia Third</v>
      </c>
      <c r="AC34" s="114" t="str">
        <f>IFERROR(INDEX(Расходка[Наименование расходного материала],MATCH(Расходка[[#This Row],[№]],Поиск_расходки[Индекс12],0)),"")</f>
        <v>Asahi Gaia Third</v>
      </c>
      <c r="AD34" s="114" t="str">
        <f>IFERROR(INDEX(Расходка[Наименование расходного материала],MATCH(Расходка[[#This Row],[№]],Поиск_расходки[Индекс13],0)),"")</f>
        <v>Asahi Gaia Third</v>
      </c>
      <c r="AF34" s="4" t="s">
        <v>5</v>
      </c>
      <c r="AG34" s="4" t="s">
        <v>430</v>
      </c>
    </row>
    <row r="35" spans="1:33">
      <c r="A35">
        <f>ROW(Расходка[[#This Row],[Тип расходного материала ]])-1</f>
        <v>34</v>
      </c>
      <c r="B35" t="s">
        <v>3</v>
      </c>
      <c r="C35" s="1" t="s">
        <v>321</v>
      </c>
      <c r="E35" s="115">
        <f>IF(ISNUMBER(SEARCH('Карта учёта'!$B$13,Расходка[[#This Row],[Наименование расходного материала]])),MAX($E$1:E34)+1,0)</f>
        <v>0</v>
      </c>
      <c r="F35" s="115">
        <f>IF(ISNUMBER(SEARCH('Карта учёта'!$B$14,Расходка[[#This Row],[Наименование расходного материала]])),MAX($F$1:F34)+1,0)</f>
        <v>0</v>
      </c>
      <c r="G35" s="115">
        <f>IF(ISNUMBER(SEARCH('Карта учёта'!$B$15,Расходка[[#This Row],[Наименование расходного материала]])),MAX($G$1:G34)+1,0)</f>
        <v>34</v>
      </c>
      <c r="H35" s="115">
        <f>IF(ISNUMBER(SEARCH('Карта учёта'!$B$16,Расходка[[#This Row],[Наименование расходного материала]])),MAX($H$1:H34)+1,0)</f>
        <v>34</v>
      </c>
      <c r="I35" s="115">
        <f>IF(ISNUMBER(SEARCH('Карта учёта'!$B$17,Расходка[[#This Row],[Наименование расходного материала]])),MAX($I$1:I34)+1,0)</f>
        <v>34</v>
      </c>
      <c r="J35" s="115">
        <f>IF(ISNUMBER(SEARCH('Карта учёта'!$B$18,Расходка[[#This Row],[Наименование расходного материала]])),MAX($J$1:J34)+1,0)</f>
        <v>34</v>
      </c>
      <c r="K35" s="115">
        <f>IF(ISNUMBER(SEARCH('Карта учёта'!$B$19,Расходка[[#This Row],[Наименование расходного материала]])),MAX($K$1:K34)+1,0)</f>
        <v>34</v>
      </c>
      <c r="L35" s="115">
        <f>IF(ISNUMBER(SEARCH('Карта учёта'!$B$20,Расходка[[#This Row],[Наименование расходного материала]])),MAX($L$1:L34)+1,0)</f>
        <v>34</v>
      </c>
      <c r="M35" s="115">
        <f>IF(ISNUMBER(SEARCH('Карта учёта'!$B$21,Расходка[[#This Row],[Наименование расходного материала]])),MAX($M$1:M34)+1,0)</f>
        <v>34</v>
      </c>
      <c r="N35" s="115">
        <f>IF(ISNUMBER(SEARCH('Карта учёта'!$B$22,Расходка[[#This Row],[Наименование расходного материала]])),MAX($N$1:N34)+1,0)</f>
        <v>34</v>
      </c>
      <c r="O35" s="115">
        <f>IF(ISNUMBER(SEARCH('Карта учёта'!$B$23,Расходка[[#This Row],[Наименование расходного материала]])),MAX($O$1:O34)+1,0)</f>
        <v>34</v>
      </c>
      <c r="P35" s="115">
        <f>IF(ISNUMBER(SEARCH('Карта учёта'!$B$24,Расходка[[#This Row],[Наименование расходного материала]])),MAX($P$1:P34)+1,0)</f>
        <v>34</v>
      </c>
      <c r="Q35" s="115">
        <f>IF(ISNUMBER(SEARCH('Карта учёта'!$B$25,Расходка[[#This Row],[Наименование расходного материала]])),MAX($Q$1:Q34)+1,0)</f>
        <v>34</v>
      </c>
      <c r="R35" s="114" t="str">
        <f>IFERROR(INDEX(Расходка[Наименование расходного материала],MATCH(Расходка[[#This Row],[№]],Поиск_расходки[Индекс1],0)),"")</f>
        <v/>
      </c>
      <c r="S35" s="114" t="str">
        <f>IFERROR(INDEX(Расходка[Наименование расходного материала],MATCH(Расходка[[#This Row],[№]],Поиск_расходки[Индекс2],0)),"")</f>
        <v/>
      </c>
      <c r="T35" s="114" t="str">
        <f>IFERROR(INDEX(Расходка[Наименование расходного материала],MATCH(Расходка[[#This Row],[№]],Поиск_расходки[Индекс3],0)),"")</f>
        <v>Intuition</v>
      </c>
      <c r="U35" s="114" t="str">
        <f>IFERROR(INDEX(Расходка[Наименование расходного материала],MATCH(Расходка[[#This Row],[№]],Поиск_расходки[Индекс4],0)),"")</f>
        <v>Intuition</v>
      </c>
      <c r="V35" s="114" t="str">
        <f>IFERROR(INDEX(Расходка[Наименование расходного материала],MATCH(Расходка[[#This Row],[№]],Поиск_расходки[Индекс5],0)),"")</f>
        <v>Intuition</v>
      </c>
      <c r="W35" s="114" t="str">
        <f>IFERROR(INDEX(Расходка[Наименование расходного материала],MATCH(Расходка[[#This Row],[№]],Поиск_расходки[Индекс6],0)),"")</f>
        <v>Intuition</v>
      </c>
      <c r="X35" s="114" t="str">
        <f>IFERROR(INDEX(Расходка[Наименование расходного материала],MATCH(Расходка[[#This Row],[№]],Поиск_расходки[Индекс7],0)),"")</f>
        <v>Intuition</v>
      </c>
      <c r="Y35" s="114" t="str">
        <f>IFERROR(INDEX(Расходка[Наименование расходного материала],MATCH(Расходка[[#This Row],[№]],Поиск_расходки[Индекс8],0)),"")</f>
        <v>Intuition</v>
      </c>
      <c r="Z35" s="114" t="str">
        <f>IFERROR(INDEX(Расходка[Наименование расходного материала],MATCH(Расходка[[#This Row],[№]],Поиск_расходки[Индекс9],0)),"")</f>
        <v>Intuition</v>
      </c>
      <c r="AA35" s="114" t="str">
        <f>IFERROR(INDEX(Расходка[Наименование расходного материала],MATCH(Расходка[[#This Row],[№]],Поиск_расходки[Индекс10],0)),"")</f>
        <v>Intuition</v>
      </c>
      <c r="AB35" s="114" t="str">
        <f>IFERROR(INDEX(Расходка[Наименование расходного материала],MATCH(Расходка[[#This Row],[№]],Поиск_расходки[Индекс11],0)),"")</f>
        <v>Intuition</v>
      </c>
      <c r="AC35" s="114" t="str">
        <f>IFERROR(INDEX(Расходка[Наименование расходного материала],MATCH(Расходка[[#This Row],[№]],Поиск_расходки[Индекс12],0)),"")</f>
        <v>Intuition</v>
      </c>
      <c r="AD35" s="114" t="str">
        <f>IFERROR(INDEX(Расходка[Наименование расходного материала],MATCH(Расходка[[#This Row],[№]],Поиск_расходки[Индекс13],0)),"")</f>
        <v>Intuition</v>
      </c>
      <c r="AF35" s="4" t="s">
        <v>5</v>
      </c>
      <c r="AG35" s="4" t="s">
        <v>489</v>
      </c>
    </row>
    <row r="36" spans="1:33">
      <c r="A36">
        <f>ROW(Расходка[[#This Row],[Тип расходного материала ]])-1</f>
        <v>35</v>
      </c>
      <c r="B36" t="s">
        <v>3</v>
      </c>
      <c r="C36" t="s">
        <v>317</v>
      </c>
      <c r="E36" s="115">
        <f>IF(ISNUMBER(SEARCH('Карта учёта'!$B$13,Расходка[[#This Row],[Наименование расходного материала]])),MAX($E$1:E35)+1,0)</f>
        <v>0</v>
      </c>
      <c r="F36" s="115">
        <f>IF(ISNUMBER(SEARCH('Карта учёта'!$B$14,Расходка[[#This Row],[Наименование расходного материала]])),MAX($F$1:F35)+1,0)</f>
        <v>0</v>
      </c>
      <c r="G36" s="115">
        <f>IF(ISNUMBER(SEARCH('Карта учёта'!$B$15,Расходка[[#This Row],[Наименование расходного материала]])),MAX($G$1:G35)+1,0)</f>
        <v>35</v>
      </c>
      <c r="H36" s="115">
        <f>IF(ISNUMBER(SEARCH('Карта учёта'!$B$16,Расходка[[#This Row],[Наименование расходного материала]])),MAX($H$1:H35)+1,0)</f>
        <v>35</v>
      </c>
      <c r="I36" s="115">
        <f>IF(ISNUMBER(SEARCH('Карта учёта'!$B$17,Расходка[[#This Row],[Наименование расходного материала]])),MAX($I$1:I35)+1,0)</f>
        <v>35</v>
      </c>
      <c r="J36" s="115">
        <f>IF(ISNUMBER(SEARCH('Карта учёта'!$B$18,Расходка[[#This Row],[Наименование расходного материала]])),MAX($J$1:J35)+1,0)</f>
        <v>35</v>
      </c>
      <c r="K36" s="115">
        <f>IF(ISNUMBER(SEARCH('Карта учёта'!$B$19,Расходка[[#This Row],[Наименование расходного материала]])),MAX($K$1:K35)+1,0)</f>
        <v>35</v>
      </c>
      <c r="L36" s="115">
        <f>IF(ISNUMBER(SEARCH('Карта учёта'!$B$20,Расходка[[#This Row],[Наименование расходного материала]])),MAX($L$1:L35)+1,0)</f>
        <v>35</v>
      </c>
      <c r="M36" s="115">
        <f>IF(ISNUMBER(SEARCH('Карта учёта'!$B$21,Расходка[[#This Row],[Наименование расходного материала]])),MAX($M$1:M35)+1,0)</f>
        <v>35</v>
      </c>
      <c r="N36" s="115">
        <f>IF(ISNUMBER(SEARCH('Карта учёта'!$B$22,Расходка[[#This Row],[Наименование расходного материала]])),MAX($N$1:N35)+1,0)</f>
        <v>35</v>
      </c>
      <c r="O36" s="115">
        <f>IF(ISNUMBER(SEARCH('Карта учёта'!$B$23,Расходка[[#This Row],[Наименование расходного материала]])),MAX($O$1:O35)+1,0)</f>
        <v>35</v>
      </c>
      <c r="P36" s="115">
        <f>IF(ISNUMBER(SEARCH('Карта учёта'!$B$24,Расходка[[#This Row],[Наименование расходного материала]])),MAX($P$1:P35)+1,0)</f>
        <v>35</v>
      </c>
      <c r="Q36" s="115">
        <f>IF(ISNUMBER(SEARCH('Карта учёта'!$B$25,Расходка[[#This Row],[Наименование расходного материала]])),MAX($Q$1:Q35)+1,0)</f>
        <v>35</v>
      </c>
      <c r="R36" s="114" t="str">
        <f>IFERROR(INDEX(Расходка[Наименование расходного материала],MATCH(Расходка[[#This Row],[№]],Поиск_расходки[Индекс1],0)),"")</f>
        <v/>
      </c>
      <c r="S36" s="114" t="str">
        <f>IFERROR(INDEX(Расходка[Наименование расходного материала],MATCH(Расходка[[#This Row],[№]],Поиск_расходки[Индекс2],0)),"")</f>
        <v/>
      </c>
      <c r="T36" s="114" t="str">
        <f>IFERROR(INDEX(Расходка[Наименование расходного материала],MATCH(Расходка[[#This Row],[№]],Поиск_расходки[Индекс3],0)),"")</f>
        <v>ProVia 3 Hydro-Track®</v>
      </c>
      <c r="U36" s="114" t="str">
        <f>IFERROR(INDEX(Расходка[Наименование расходного материала],MATCH(Расходка[[#This Row],[№]],Поиск_расходки[Индекс4],0)),"")</f>
        <v>ProVia 3 Hydro-Track®</v>
      </c>
      <c r="V36" s="114" t="str">
        <f>IFERROR(INDEX(Расходка[Наименование расходного материала],MATCH(Расходка[[#This Row],[№]],Поиск_расходки[Индекс5],0)),"")</f>
        <v>ProVia 3 Hydro-Track®</v>
      </c>
      <c r="W36" s="114" t="str">
        <f>IFERROR(INDEX(Расходка[Наименование расходного материала],MATCH(Расходка[[#This Row],[№]],Поиск_расходки[Индекс6],0)),"")</f>
        <v>ProVia 3 Hydro-Track®</v>
      </c>
      <c r="X36" s="114" t="str">
        <f>IFERROR(INDEX(Расходка[Наименование расходного материала],MATCH(Расходка[[#This Row],[№]],Поиск_расходки[Индекс7],0)),"")</f>
        <v>ProVia 3 Hydro-Track®</v>
      </c>
      <c r="Y36" s="114" t="str">
        <f>IFERROR(INDEX(Расходка[Наименование расходного материала],MATCH(Расходка[[#This Row],[№]],Поиск_расходки[Индекс8],0)),"")</f>
        <v>ProVia 3 Hydro-Track®</v>
      </c>
      <c r="Z36" s="114" t="str">
        <f>IFERROR(INDEX(Расходка[Наименование расходного материала],MATCH(Расходка[[#This Row],[№]],Поиск_расходки[Индекс9],0)),"")</f>
        <v>ProVia 3 Hydro-Track®</v>
      </c>
      <c r="AA36" s="114" t="str">
        <f>IFERROR(INDEX(Расходка[Наименование расходного материала],MATCH(Расходка[[#This Row],[№]],Поиск_расходки[Индекс10],0)),"")</f>
        <v>ProVia 3 Hydro-Track®</v>
      </c>
      <c r="AB36" s="114" t="str">
        <f>IFERROR(INDEX(Расходка[Наименование расходного материала],MATCH(Расходка[[#This Row],[№]],Поиск_расходки[Индекс11],0)),"")</f>
        <v>ProVia 3 Hydro-Track®</v>
      </c>
      <c r="AC36" s="114" t="str">
        <f>IFERROR(INDEX(Расходка[Наименование расходного материала],MATCH(Расходка[[#This Row],[№]],Поиск_расходки[Индекс12],0)),"")</f>
        <v>ProVia 3 Hydro-Track®</v>
      </c>
      <c r="AD36" s="114" t="str">
        <f>IFERROR(INDEX(Расходка[Наименование расходного материала],MATCH(Расходка[[#This Row],[№]],Поиск_расходки[Индекс13],0)),"")</f>
        <v>ProVia 3 Hydro-Track®</v>
      </c>
      <c r="AF36" s="4" t="s">
        <v>5</v>
      </c>
      <c r="AG36" s="4" t="s">
        <v>431</v>
      </c>
    </row>
    <row r="37" spans="1:33">
      <c r="A37">
        <f>ROW(Расходка[[#This Row],[Тип расходного материала ]])-1</f>
        <v>36</v>
      </c>
      <c r="B37" t="s">
        <v>3</v>
      </c>
      <c r="C37" t="s">
        <v>318</v>
      </c>
      <c r="E37" s="115">
        <f>IF(ISNUMBER(SEARCH('Карта учёта'!$B$13,Расходка[[#This Row],[Наименование расходного материала]])),MAX($E$1:E36)+1,0)</f>
        <v>0</v>
      </c>
      <c r="F37" s="115">
        <f>IF(ISNUMBER(SEARCH('Карта учёта'!$B$14,Расходка[[#This Row],[Наименование расходного материала]])),MAX($F$1:F36)+1,0)</f>
        <v>0</v>
      </c>
      <c r="G37" s="115">
        <f>IF(ISNUMBER(SEARCH('Карта учёта'!$B$15,Расходка[[#This Row],[Наименование расходного материала]])),MAX($G$1:G36)+1,0)</f>
        <v>36</v>
      </c>
      <c r="H37" s="115">
        <f>IF(ISNUMBER(SEARCH('Карта учёта'!$B$16,Расходка[[#This Row],[Наименование расходного материала]])),MAX($H$1:H36)+1,0)</f>
        <v>36</v>
      </c>
      <c r="I37" s="115">
        <f>IF(ISNUMBER(SEARCH('Карта учёта'!$B$17,Расходка[[#This Row],[Наименование расходного материала]])),MAX($I$1:I36)+1,0)</f>
        <v>36</v>
      </c>
      <c r="J37" s="115">
        <f>IF(ISNUMBER(SEARCH('Карта учёта'!$B$18,Расходка[[#This Row],[Наименование расходного материала]])),MAX($J$1:J36)+1,0)</f>
        <v>36</v>
      </c>
      <c r="K37" s="115">
        <f>IF(ISNUMBER(SEARCH('Карта учёта'!$B$19,Расходка[[#This Row],[Наименование расходного материала]])),MAX($K$1:K36)+1,0)</f>
        <v>36</v>
      </c>
      <c r="L37" s="115">
        <f>IF(ISNUMBER(SEARCH('Карта учёта'!$B$20,Расходка[[#This Row],[Наименование расходного материала]])),MAX($L$1:L36)+1,0)</f>
        <v>36</v>
      </c>
      <c r="M37" s="115">
        <f>IF(ISNUMBER(SEARCH('Карта учёта'!$B$21,Расходка[[#This Row],[Наименование расходного материала]])),MAX($M$1:M36)+1,0)</f>
        <v>36</v>
      </c>
      <c r="N37" s="115">
        <f>IF(ISNUMBER(SEARCH('Карта учёта'!$B$22,Расходка[[#This Row],[Наименование расходного материала]])),MAX($N$1:N36)+1,0)</f>
        <v>36</v>
      </c>
      <c r="O37" s="115">
        <f>IF(ISNUMBER(SEARCH('Карта учёта'!$B$23,Расходка[[#This Row],[Наименование расходного материала]])),MAX($O$1:O36)+1,0)</f>
        <v>36</v>
      </c>
      <c r="P37" s="115">
        <f>IF(ISNUMBER(SEARCH('Карта учёта'!$B$24,Расходка[[#This Row],[Наименование расходного материала]])),MAX($P$1:P36)+1,0)</f>
        <v>36</v>
      </c>
      <c r="Q37" s="115">
        <f>IF(ISNUMBER(SEARCH('Карта учёта'!$B$25,Расходка[[#This Row],[Наименование расходного материала]])),MAX($Q$1:Q36)+1,0)</f>
        <v>36</v>
      </c>
      <c r="R37" s="114" t="str">
        <f>IFERROR(INDEX(Расходка[Наименование расходного материала],MATCH(Расходка[[#This Row],[№]],Поиск_расходки[Индекс1],0)),"")</f>
        <v/>
      </c>
      <c r="S37" s="114" t="str">
        <f>IFERROR(INDEX(Расходка[Наименование расходного материала],MATCH(Расходка[[#This Row],[№]],Поиск_расходки[Индекс2],0)),"")</f>
        <v/>
      </c>
      <c r="T37" s="114" t="str">
        <f>IFERROR(INDEX(Расходка[Наименование расходного материала],MATCH(Расходка[[#This Row],[№]],Поиск_расходки[Индекс3],0)),"")</f>
        <v>ProVia 6 Hydro-Track®</v>
      </c>
      <c r="U37" s="114" t="str">
        <f>IFERROR(INDEX(Расходка[Наименование расходного материала],MATCH(Расходка[[#This Row],[№]],Поиск_расходки[Индекс4],0)),"")</f>
        <v>ProVia 6 Hydro-Track®</v>
      </c>
      <c r="V37" s="114" t="str">
        <f>IFERROR(INDEX(Расходка[Наименование расходного материала],MATCH(Расходка[[#This Row],[№]],Поиск_расходки[Индекс5],0)),"")</f>
        <v>ProVia 6 Hydro-Track®</v>
      </c>
      <c r="W37" s="114" t="str">
        <f>IFERROR(INDEX(Расходка[Наименование расходного материала],MATCH(Расходка[[#This Row],[№]],Поиск_расходки[Индекс6],0)),"")</f>
        <v>ProVia 6 Hydro-Track®</v>
      </c>
      <c r="X37" s="114" t="str">
        <f>IFERROR(INDEX(Расходка[Наименование расходного материала],MATCH(Расходка[[#This Row],[№]],Поиск_расходки[Индекс7],0)),"")</f>
        <v>ProVia 6 Hydro-Track®</v>
      </c>
      <c r="Y37" s="114" t="str">
        <f>IFERROR(INDEX(Расходка[Наименование расходного материала],MATCH(Расходка[[#This Row],[№]],Поиск_расходки[Индекс8],0)),"")</f>
        <v>ProVia 6 Hydro-Track®</v>
      </c>
      <c r="Z37" s="114" t="str">
        <f>IFERROR(INDEX(Расходка[Наименование расходного материала],MATCH(Расходка[[#This Row],[№]],Поиск_расходки[Индекс9],0)),"")</f>
        <v>ProVia 6 Hydro-Track®</v>
      </c>
      <c r="AA37" s="114" t="str">
        <f>IFERROR(INDEX(Расходка[Наименование расходного материала],MATCH(Расходка[[#This Row],[№]],Поиск_расходки[Индекс10],0)),"")</f>
        <v>ProVia 6 Hydro-Track®</v>
      </c>
      <c r="AB37" s="114" t="str">
        <f>IFERROR(INDEX(Расходка[Наименование расходного материала],MATCH(Расходка[[#This Row],[№]],Поиск_расходки[Индекс11],0)),"")</f>
        <v>ProVia 6 Hydro-Track®</v>
      </c>
      <c r="AC37" s="114" t="str">
        <f>IFERROR(INDEX(Расходка[Наименование расходного материала],MATCH(Расходка[[#This Row],[№]],Поиск_расходки[Индекс12],0)),"")</f>
        <v>ProVia 6 Hydro-Track®</v>
      </c>
      <c r="AD37" s="114" t="str">
        <f>IFERROR(INDEX(Расходка[Наименование расходного материала],MATCH(Расходка[[#This Row],[№]],Поиск_расходки[Индекс13],0)),"")</f>
        <v>ProVia 6 Hydro-Track®</v>
      </c>
      <c r="AF37" s="4" t="s">
        <v>6</v>
      </c>
      <c r="AG37" s="4" t="s">
        <v>404</v>
      </c>
    </row>
    <row r="38" spans="1:33">
      <c r="A38">
        <f>ROW(Расходка[[#This Row],[Тип расходного материала ]])-1</f>
        <v>37</v>
      </c>
      <c r="B38" t="s">
        <v>3</v>
      </c>
      <c r="C38" t="s">
        <v>319</v>
      </c>
      <c r="E38" s="115">
        <f>IF(ISNUMBER(SEARCH('Карта учёта'!$B$13,Расходка[[#This Row],[Наименование расходного материала]])),MAX($E$1:E37)+1,0)</f>
        <v>0</v>
      </c>
      <c r="F38" s="115">
        <f>IF(ISNUMBER(SEARCH('Карта учёта'!$B$14,Расходка[[#This Row],[Наименование расходного материала]])),MAX($F$1:F37)+1,0)</f>
        <v>0</v>
      </c>
      <c r="G38" s="115">
        <f>IF(ISNUMBER(SEARCH('Карта учёта'!$B$15,Расходка[[#This Row],[Наименование расходного материала]])),MAX($G$1:G37)+1,0)</f>
        <v>37</v>
      </c>
      <c r="H38" s="115">
        <f>IF(ISNUMBER(SEARCH('Карта учёта'!$B$16,Расходка[[#This Row],[Наименование расходного материала]])),MAX($H$1:H37)+1,0)</f>
        <v>37</v>
      </c>
      <c r="I38" s="115">
        <f>IF(ISNUMBER(SEARCH('Карта учёта'!$B$17,Расходка[[#This Row],[Наименование расходного материала]])),MAX($I$1:I37)+1,0)</f>
        <v>37</v>
      </c>
      <c r="J38" s="115">
        <f>IF(ISNUMBER(SEARCH('Карта учёта'!$B$18,Расходка[[#This Row],[Наименование расходного материала]])),MAX($J$1:J37)+1,0)</f>
        <v>37</v>
      </c>
      <c r="K38" s="115">
        <f>IF(ISNUMBER(SEARCH('Карта учёта'!$B$19,Расходка[[#This Row],[Наименование расходного материала]])),MAX($K$1:K37)+1,0)</f>
        <v>37</v>
      </c>
      <c r="L38" s="115">
        <f>IF(ISNUMBER(SEARCH('Карта учёта'!$B$20,Расходка[[#This Row],[Наименование расходного материала]])),MAX($L$1:L37)+1,0)</f>
        <v>37</v>
      </c>
      <c r="M38" s="115">
        <f>IF(ISNUMBER(SEARCH('Карта учёта'!$B$21,Расходка[[#This Row],[Наименование расходного материала]])),MAX($M$1:M37)+1,0)</f>
        <v>37</v>
      </c>
      <c r="N38" s="115">
        <f>IF(ISNUMBER(SEARCH('Карта учёта'!$B$22,Расходка[[#This Row],[Наименование расходного материала]])),MAX($N$1:N37)+1,0)</f>
        <v>37</v>
      </c>
      <c r="O38" s="115">
        <f>IF(ISNUMBER(SEARCH('Карта учёта'!$B$23,Расходка[[#This Row],[Наименование расходного материала]])),MAX($O$1:O37)+1,0)</f>
        <v>37</v>
      </c>
      <c r="P38" s="115">
        <f>IF(ISNUMBER(SEARCH('Карта учёта'!$B$24,Расходка[[#This Row],[Наименование расходного материала]])),MAX($P$1:P37)+1,0)</f>
        <v>37</v>
      </c>
      <c r="Q38" s="115">
        <f>IF(ISNUMBER(SEARCH('Карта учёта'!$B$25,Расходка[[#This Row],[Наименование расходного материала]])),MAX($Q$1:Q37)+1,0)</f>
        <v>37</v>
      </c>
      <c r="R38" s="114" t="str">
        <f>IFERROR(INDEX(Расходка[Наименование расходного материала],MATCH(Расходка[[#This Row],[№]],Поиск_расходки[Индекс1],0)),"")</f>
        <v/>
      </c>
      <c r="S38" s="114" t="str">
        <f>IFERROR(INDEX(Расходка[Наименование расходного материала],MATCH(Расходка[[#This Row],[№]],Поиск_расходки[Индекс2],0)),"")</f>
        <v/>
      </c>
      <c r="T38" s="114" t="str">
        <f>IFERROR(INDEX(Расходка[Наименование расходного материала],MATCH(Расходка[[#This Row],[№]],Поиск_расходки[Индекс3],0)),"")</f>
        <v>ProVia 9 Hydro-Track®</v>
      </c>
      <c r="U38" s="114" t="str">
        <f>IFERROR(INDEX(Расходка[Наименование расходного материала],MATCH(Расходка[[#This Row],[№]],Поиск_расходки[Индекс4],0)),"")</f>
        <v>ProVia 9 Hydro-Track®</v>
      </c>
      <c r="V38" s="114" t="str">
        <f>IFERROR(INDEX(Расходка[Наименование расходного материала],MATCH(Расходка[[#This Row],[№]],Поиск_расходки[Индекс5],0)),"")</f>
        <v>ProVia 9 Hydro-Track®</v>
      </c>
      <c r="W38" s="114" t="str">
        <f>IFERROR(INDEX(Расходка[Наименование расходного материала],MATCH(Расходка[[#This Row],[№]],Поиск_расходки[Индекс6],0)),"")</f>
        <v>ProVia 9 Hydro-Track®</v>
      </c>
      <c r="X38" s="114" t="str">
        <f>IFERROR(INDEX(Расходка[Наименование расходного материала],MATCH(Расходка[[#This Row],[№]],Поиск_расходки[Индекс7],0)),"")</f>
        <v>ProVia 9 Hydro-Track®</v>
      </c>
      <c r="Y38" s="114" t="str">
        <f>IFERROR(INDEX(Расходка[Наименование расходного материала],MATCH(Расходка[[#This Row],[№]],Поиск_расходки[Индекс8],0)),"")</f>
        <v>ProVia 9 Hydro-Track®</v>
      </c>
      <c r="Z38" s="114" t="str">
        <f>IFERROR(INDEX(Расходка[Наименование расходного материала],MATCH(Расходка[[#This Row],[№]],Поиск_расходки[Индекс9],0)),"")</f>
        <v>ProVia 9 Hydro-Track®</v>
      </c>
      <c r="AA38" s="114" t="str">
        <f>IFERROR(INDEX(Расходка[Наименование расходного материала],MATCH(Расходка[[#This Row],[№]],Поиск_расходки[Индекс10],0)),"")</f>
        <v>ProVia 9 Hydro-Track®</v>
      </c>
      <c r="AB38" s="114" t="str">
        <f>IFERROR(INDEX(Расходка[Наименование расходного материала],MATCH(Расходка[[#This Row],[№]],Поиск_расходки[Индекс11],0)),"")</f>
        <v>ProVia 9 Hydro-Track®</v>
      </c>
      <c r="AC38" s="114" t="str">
        <f>IFERROR(INDEX(Расходка[Наименование расходного материала],MATCH(Расходка[[#This Row],[№]],Поиск_расходки[Индекс12],0)),"")</f>
        <v>ProVia 9 Hydro-Track®</v>
      </c>
      <c r="AD38" s="114" t="str">
        <f>IFERROR(INDEX(Расходка[Наименование расходного материала],MATCH(Расходка[[#This Row],[№]],Поиск_расходки[Индекс13],0)),"")</f>
        <v>ProVia 9 Hydro-Track®</v>
      </c>
      <c r="AF38" s="4" t="s">
        <v>6</v>
      </c>
      <c r="AG38" s="4" t="s">
        <v>491</v>
      </c>
    </row>
    <row r="39" spans="1:33">
      <c r="A39">
        <f>ROW(Расходка[[#This Row],[Тип расходного материала ]])-1</f>
        <v>38</v>
      </c>
      <c r="B39" t="s">
        <v>3</v>
      </c>
      <c r="C39" t="s">
        <v>315</v>
      </c>
      <c r="E39" s="115">
        <f>IF(ISNUMBER(SEARCH('Карта учёта'!$B$13,Расходка[[#This Row],[Наименование расходного материала]])),MAX($E$1:E38)+1,0)</f>
        <v>0</v>
      </c>
      <c r="F39" s="115">
        <f>IF(ISNUMBER(SEARCH('Карта учёта'!$B$14,Расходка[[#This Row],[Наименование расходного материала]])),MAX($F$1:F38)+1,0)</f>
        <v>0</v>
      </c>
      <c r="G39" s="115">
        <f>IF(ISNUMBER(SEARCH('Карта учёта'!$B$15,Расходка[[#This Row],[Наименование расходного материала]])),MAX($G$1:G38)+1,0)</f>
        <v>38</v>
      </c>
      <c r="H39" s="115">
        <f>IF(ISNUMBER(SEARCH('Карта учёта'!$B$16,Расходка[[#This Row],[Наименование расходного материала]])),MAX($H$1:H38)+1,0)</f>
        <v>38</v>
      </c>
      <c r="I39" s="115">
        <f>IF(ISNUMBER(SEARCH('Карта учёта'!$B$17,Расходка[[#This Row],[Наименование расходного материала]])),MAX($I$1:I38)+1,0)</f>
        <v>38</v>
      </c>
      <c r="J39" s="115">
        <f>IF(ISNUMBER(SEARCH('Карта учёта'!$B$18,Расходка[[#This Row],[Наименование расходного материала]])),MAX($J$1:J38)+1,0)</f>
        <v>38</v>
      </c>
      <c r="K39" s="115">
        <f>IF(ISNUMBER(SEARCH('Карта учёта'!$B$19,Расходка[[#This Row],[Наименование расходного материала]])),MAX($K$1:K38)+1,0)</f>
        <v>38</v>
      </c>
      <c r="L39" s="115">
        <f>IF(ISNUMBER(SEARCH('Карта учёта'!$B$20,Расходка[[#This Row],[Наименование расходного материала]])),MAX($L$1:L38)+1,0)</f>
        <v>38</v>
      </c>
      <c r="M39" s="115">
        <f>IF(ISNUMBER(SEARCH('Карта учёта'!$B$21,Расходка[[#This Row],[Наименование расходного материала]])),MAX($M$1:M38)+1,0)</f>
        <v>38</v>
      </c>
      <c r="N39" s="115">
        <f>IF(ISNUMBER(SEARCH('Карта учёта'!$B$22,Расходка[[#This Row],[Наименование расходного материала]])),MAX($N$1:N38)+1,0)</f>
        <v>38</v>
      </c>
      <c r="O39" s="115">
        <f>IF(ISNUMBER(SEARCH('Карта учёта'!$B$23,Расходка[[#This Row],[Наименование расходного материала]])),MAX($O$1:O38)+1,0)</f>
        <v>38</v>
      </c>
      <c r="P39" s="115">
        <f>IF(ISNUMBER(SEARCH('Карта учёта'!$B$24,Расходка[[#This Row],[Наименование расходного материала]])),MAX($P$1:P38)+1,0)</f>
        <v>38</v>
      </c>
      <c r="Q39" s="115">
        <f>IF(ISNUMBER(SEARCH('Карта учёта'!$B$25,Расходка[[#This Row],[Наименование расходного материала]])),MAX($Q$1:Q38)+1,0)</f>
        <v>38</v>
      </c>
      <c r="R39" s="114" t="str">
        <f>IFERROR(INDEX(Расходка[Наименование расходного материала],MATCH(Расходка[[#This Row],[№]],Поиск_расходки[Индекс1],0)),"")</f>
        <v/>
      </c>
      <c r="S39" s="114" t="str">
        <f>IFERROR(INDEX(Расходка[Наименование расходного материала],MATCH(Расходка[[#This Row],[№]],Поиск_расходки[Индекс2],0)),"")</f>
        <v/>
      </c>
      <c r="T39" s="114" t="str">
        <f>IFERROR(INDEX(Расходка[Наименование расходного материала],MATCH(Расходка[[#This Row],[№]],Поиск_расходки[Индекс3],0)),"")</f>
        <v>Rinato</v>
      </c>
      <c r="U39" s="114" t="str">
        <f>IFERROR(INDEX(Расходка[Наименование расходного материала],MATCH(Расходка[[#This Row],[№]],Поиск_расходки[Индекс4],0)),"")</f>
        <v>Rinato</v>
      </c>
      <c r="V39" s="114" t="str">
        <f>IFERROR(INDEX(Расходка[Наименование расходного материала],MATCH(Расходка[[#This Row],[№]],Поиск_расходки[Индекс5],0)),"")</f>
        <v>Rinato</v>
      </c>
      <c r="W39" s="114" t="str">
        <f>IFERROR(INDEX(Расходка[Наименование расходного материала],MATCH(Расходка[[#This Row],[№]],Поиск_расходки[Индекс6],0)),"")</f>
        <v>Rinato</v>
      </c>
      <c r="X39" s="114" t="str">
        <f>IFERROR(INDEX(Расходка[Наименование расходного материала],MATCH(Расходка[[#This Row],[№]],Поиск_расходки[Индекс7],0)),"")</f>
        <v>Rinato</v>
      </c>
      <c r="Y39" s="114" t="str">
        <f>IFERROR(INDEX(Расходка[Наименование расходного материала],MATCH(Расходка[[#This Row],[№]],Поиск_расходки[Индекс8],0)),"")</f>
        <v>Rinato</v>
      </c>
      <c r="Z39" s="114" t="str">
        <f>IFERROR(INDEX(Расходка[Наименование расходного материала],MATCH(Расходка[[#This Row],[№]],Поиск_расходки[Индекс9],0)),"")</f>
        <v>Rinato</v>
      </c>
      <c r="AA39" s="114" t="str">
        <f>IFERROR(INDEX(Расходка[Наименование расходного материала],MATCH(Расходка[[#This Row],[№]],Поиск_расходки[Индекс10],0)),"")</f>
        <v>Rinato</v>
      </c>
      <c r="AB39" s="114" t="str">
        <f>IFERROR(INDEX(Расходка[Наименование расходного материала],MATCH(Расходка[[#This Row],[№]],Поиск_расходки[Индекс11],0)),"")</f>
        <v>Rinato</v>
      </c>
      <c r="AC39" s="114" t="str">
        <f>IFERROR(INDEX(Расходка[Наименование расходного материала],MATCH(Расходка[[#This Row],[№]],Поиск_расходки[Индекс12],0)),"")</f>
        <v>Rinato</v>
      </c>
      <c r="AD39" s="114" t="str">
        <f>IFERROR(INDEX(Расходка[Наименование расходного материала],MATCH(Расходка[[#This Row],[№]],Поиск_расходки[Индекс13],0)),"")</f>
        <v>Rinato</v>
      </c>
      <c r="AF39" s="4" t="s">
        <v>6</v>
      </c>
      <c r="AG39" s="4" t="s">
        <v>432</v>
      </c>
    </row>
    <row r="40" spans="1:33">
      <c r="A40">
        <f>ROW(Расходка[[#This Row],[Тип расходного материала ]])-1</f>
        <v>39</v>
      </c>
      <c r="B40" t="s">
        <v>3</v>
      </c>
      <c r="C40" s="1" t="s">
        <v>352</v>
      </c>
      <c r="E40" s="115">
        <f>IF(ISNUMBER(SEARCH('Карта учёта'!$B$13,Расходка[[#This Row],[Наименование расходного материала]])),MAX($E$1:E39)+1,0)</f>
        <v>0</v>
      </c>
      <c r="F40" s="115">
        <f>IF(ISNUMBER(SEARCH('Карта учёта'!$B$14,Расходка[[#This Row],[Наименование расходного материала]])),MAX($F$1:F39)+1,0)</f>
        <v>0</v>
      </c>
      <c r="G40" s="115">
        <f>IF(ISNUMBER(SEARCH('Карта учёта'!$B$15,Расходка[[#This Row],[Наименование расходного материала]])),MAX($G$1:G39)+1,0)</f>
        <v>39</v>
      </c>
      <c r="H40" s="115">
        <f>IF(ISNUMBER(SEARCH('Карта учёта'!$B$16,Расходка[[#This Row],[Наименование расходного материала]])),MAX($H$1:H39)+1,0)</f>
        <v>39</v>
      </c>
      <c r="I40" s="115">
        <f>IF(ISNUMBER(SEARCH('Карта учёта'!$B$17,Расходка[[#This Row],[Наименование расходного материала]])),MAX($I$1:I39)+1,0)</f>
        <v>39</v>
      </c>
      <c r="J40" s="115">
        <f>IF(ISNUMBER(SEARCH('Карта учёта'!$B$18,Расходка[[#This Row],[Наименование расходного материала]])),MAX($J$1:J39)+1,0)</f>
        <v>39</v>
      </c>
      <c r="K40" s="115">
        <f>IF(ISNUMBER(SEARCH('Карта учёта'!$B$19,Расходка[[#This Row],[Наименование расходного материала]])),MAX($K$1:K39)+1,0)</f>
        <v>39</v>
      </c>
      <c r="L40" s="115">
        <f>IF(ISNUMBER(SEARCH('Карта учёта'!$B$20,Расходка[[#This Row],[Наименование расходного материала]])),MAX($L$1:L39)+1,0)</f>
        <v>39</v>
      </c>
      <c r="M40" s="115">
        <f>IF(ISNUMBER(SEARCH('Карта учёта'!$B$21,Расходка[[#This Row],[Наименование расходного материала]])),MAX($M$1:M39)+1,0)</f>
        <v>39</v>
      </c>
      <c r="N40" s="115">
        <f>IF(ISNUMBER(SEARCH('Карта учёта'!$B$22,Расходка[[#This Row],[Наименование расходного материала]])),MAX($N$1:N39)+1,0)</f>
        <v>39</v>
      </c>
      <c r="O40" s="115">
        <f>IF(ISNUMBER(SEARCH('Карта учёта'!$B$23,Расходка[[#This Row],[Наименование расходного материала]])),MAX($O$1:O39)+1,0)</f>
        <v>39</v>
      </c>
      <c r="P40" s="115">
        <f>IF(ISNUMBER(SEARCH('Карта учёта'!$B$24,Расходка[[#This Row],[Наименование расходного материала]])),MAX($P$1:P39)+1,0)</f>
        <v>39</v>
      </c>
      <c r="Q40" s="115">
        <f>IF(ISNUMBER(SEARCH('Карта учёта'!$B$25,Расходка[[#This Row],[Наименование расходного материала]])),MAX($Q$1:Q39)+1,0)</f>
        <v>39</v>
      </c>
      <c r="R40" s="114" t="str">
        <f>IFERROR(INDEX(Расходка[Наименование расходного материала],MATCH(Расходка[[#This Row],[№]],Поиск_расходки[Индекс1],0)),"")</f>
        <v/>
      </c>
      <c r="S40" s="114" t="str">
        <f>IFERROR(INDEX(Расходка[Наименование расходного материала],MATCH(Расходка[[#This Row],[№]],Поиск_расходки[Индекс2],0)),"")</f>
        <v/>
      </c>
      <c r="T40" s="114" t="str">
        <f>IFERROR(INDEX(Расходка[Наименование расходного материала],MATCH(Расходка[[#This Row],[№]],Поиск_расходки[Индекс3],0)),"")</f>
        <v>Runthrough NS (Floppy)</v>
      </c>
      <c r="U40" s="114" t="str">
        <f>IFERROR(INDEX(Расходка[Наименование расходного материала],MATCH(Расходка[[#This Row],[№]],Поиск_расходки[Индекс4],0)),"")</f>
        <v>Runthrough NS (Floppy)</v>
      </c>
      <c r="V40" s="114" t="str">
        <f>IFERROR(INDEX(Расходка[Наименование расходного материала],MATCH(Расходка[[#This Row],[№]],Поиск_расходки[Индекс5],0)),"")</f>
        <v>Runthrough NS (Floppy)</v>
      </c>
      <c r="W40" s="114" t="str">
        <f>IFERROR(INDEX(Расходка[Наименование расходного материала],MATCH(Расходка[[#This Row],[№]],Поиск_расходки[Индекс6],0)),"")</f>
        <v>Runthrough NS (Floppy)</v>
      </c>
      <c r="X40" s="114" t="str">
        <f>IFERROR(INDEX(Расходка[Наименование расходного материала],MATCH(Расходка[[#This Row],[№]],Поиск_расходки[Индекс7],0)),"")</f>
        <v>Runthrough NS (Floppy)</v>
      </c>
      <c r="Y40" s="114" t="str">
        <f>IFERROR(INDEX(Расходка[Наименование расходного материала],MATCH(Расходка[[#This Row],[№]],Поиск_расходки[Индекс8],0)),"")</f>
        <v>Runthrough NS (Floppy)</v>
      </c>
      <c r="Z40" s="114" t="str">
        <f>IFERROR(INDEX(Расходка[Наименование расходного материала],MATCH(Расходка[[#This Row],[№]],Поиск_расходки[Индекс9],0)),"")</f>
        <v>Runthrough NS (Floppy)</v>
      </c>
      <c r="AA40" s="114" t="str">
        <f>IFERROR(INDEX(Расходка[Наименование расходного материала],MATCH(Расходка[[#This Row],[№]],Поиск_расходки[Индекс10],0)),"")</f>
        <v>Runthrough NS (Floppy)</v>
      </c>
      <c r="AB40" s="114" t="str">
        <f>IFERROR(INDEX(Расходка[Наименование расходного материала],MATCH(Расходка[[#This Row],[№]],Поиск_расходки[Индекс11],0)),"")</f>
        <v>Runthrough NS (Floppy)</v>
      </c>
      <c r="AC40" s="114" t="str">
        <f>IFERROR(INDEX(Расходка[Наименование расходного материала],MATCH(Расходка[[#This Row],[№]],Поиск_расходки[Индекс12],0)),"")</f>
        <v>Runthrough NS (Floppy)</v>
      </c>
      <c r="AD40" s="114" t="str">
        <f>IFERROR(INDEX(Расходка[Наименование расходного материала],MATCH(Расходка[[#This Row],[№]],Поиск_расходки[Индекс13],0)),"")</f>
        <v>Runthrough NS (Floppy)</v>
      </c>
      <c r="AF40" s="4" t="s">
        <v>6</v>
      </c>
      <c r="AG40" s="4" t="s">
        <v>433</v>
      </c>
    </row>
    <row r="41" spans="1:33">
      <c r="A41">
        <f>ROW(Расходка[[#This Row],[Тип расходного материала ]])-1</f>
        <v>40</v>
      </c>
      <c r="B41" t="s">
        <v>3</v>
      </c>
      <c r="C41" s="1" t="s">
        <v>359</v>
      </c>
      <c r="E41" s="115">
        <f>IF(ISNUMBER(SEARCH('Карта учёта'!$B$13,Расходка[[#This Row],[Наименование расходного материала]])),MAX($E$1:E40)+1,0)</f>
        <v>0</v>
      </c>
      <c r="F41" s="115">
        <f>IF(ISNUMBER(SEARCH('Карта учёта'!$B$14,Расходка[[#This Row],[Наименование расходного материала]])),MAX($F$1:F40)+1,0)</f>
        <v>0</v>
      </c>
      <c r="G41" s="115">
        <f>IF(ISNUMBER(SEARCH('Карта учёта'!$B$15,Расходка[[#This Row],[Наименование расходного материала]])),MAX($G$1:G40)+1,0)</f>
        <v>40</v>
      </c>
      <c r="H41" s="115">
        <f>IF(ISNUMBER(SEARCH('Карта учёта'!$B$16,Расходка[[#This Row],[Наименование расходного материала]])),MAX($H$1:H40)+1,0)</f>
        <v>40</v>
      </c>
      <c r="I41" s="115">
        <f>IF(ISNUMBER(SEARCH('Карта учёта'!$B$17,Расходка[[#This Row],[Наименование расходного материала]])),MAX($I$1:I40)+1,0)</f>
        <v>40</v>
      </c>
      <c r="J41" s="115">
        <f>IF(ISNUMBER(SEARCH('Карта учёта'!$B$18,Расходка[[#This Row],[Наименование расходного материала]])),MAX($J$1:J40)+1,0)</f>
        <v>40</v>
      </c>
      <c r="K41" s="115">
        <f>IF(ISNUMBER(SEARCH('Карта учёта'!$B$19,Расходка[[#This Row],[Наименование расходного материала]])),MAX($K$1:K40)+1,0)</f>
        <v>40</v>
      </c>
      <c r="L41" s="115">
        <f>IF(ISNUMBER(SEARCH('Карта учёта'!$B$20,Расходка[[#This Row],[Наименование расходного материала]])),MAX($L$1:L40)+1,0)</f>
        <v>40</v>
      </c>
      <c r="M41" s="115">
        <f>IF(ISNUMBER(SEARCH('Карта учёта'!$B$21,Расходка[[#This Row],[Наименование расходного материала]])),MAX($M$1:M40)+1,0)</f>
        <v>40</v>
      </c>
      <c r="N41" s="115">
        <f>IF(ISNUMBER(SEARCH('Карта учёта'!$B$22,Расходка[[#This Row],[Наименование расходного материала]])),MAX($N$1:N40)+1,0)</f>
        <v>40</v>
      </c>
      <c r="O41" s="115">
        <f>IF(ISNUMBER(SEARCH('Карта учёта'!$B$23,Расходка[[#This Row],[Наименование расходного материала]])),MAX($O$1:O40)+1,0)</f>
        <v>40</v>
      </c>
      <c r="P41" s="115">
        <f>IF(ISNUMBER(SEARCH('Карта учёта'!$B$24,Расходка[[#This Row],[Наименование расходного материала]])),MAX($P$1:P40)+1,0)</f>
        <v>40</v>
      </c>
      <c r="Q41" s="115">
        <f>IF(ISNUMBER(SEARCH('Карта учёта'!$B$25,Расходка[[#This Row],[Наименование расходного материала]])),MAX($Q$1:Q40)+1,0)</f>
        <v>40</v>
      </c>
      <c r="R41" s="114" t="str">
        <f>IFERROR(INDEX(Расходка[Наименование расходного материала],MATCH(Расходка[[#This Row],[№]],Поиск_расходки[Индекс1],0)),"")</f>
        <v/>
      </c>
      <c r="S41" s="114" t="str">
        <f>IFERROR(INDEX(Расходка[Наименование расходного материала],MATCH(Расходка[[#This Row],[№]],Поиск_расходки[Индекс2],0)),"")</f>
        <v/>
      </c>
      <c r="T41" s="114" t="str">
        <f>IFERROR(INDEX(Расходка[Наименование расходного материала],MATCH(Расходка[[#This Row],[№]],Поиск_расходки[Индекс3],0)),"")</f>
        <v>Runthrough NS Hypercoat</v>
      </c>
      <c r="U41" s="114" t="str">
        <f>IFERROR(INDEX(Расходка[Наименование расходного материала],MATCH(Расходка[[#This Row],[№]],Поиск_расходки[Индекс4],0)),"")</f>
        <v>Runthrough NS Hypercoat</v>
      </c>
      <c r="V41" s="114" t="str">
        <f>IFERROR(INDEX(Расходка[Наименование расходного материала],MATCH(Расходка[[#This Row],[№]],Поиск_расходки[Индекс5],0)),"")</f>
        <v>Runthrough NS Hypercoat</v>
      </c>
      <c r="W41" s="114" t="str">
        <f>IFERROR(INDEX(Расходка[Наименование расходного материала],MATCH(Расходка[[#This Row],[№]],Поиск_расходки[Индекс6],0)),"")</f>
        <v>Runthrough NS Hypercoat</v>
      </c>
      <c r="X41" s="114" t="str">
        <f>IFERROR(INDEX(Расходка[Наименование расходного материала],MATCH(Расходка[[#This Row],[№]],Поиск_расходки[Индекс7],0)),"")</f>
        <v>Runthrough NS Hypercoat</v>
      </c>
      <c r="Y41" s="114" t="str">
        <f>IFERROR(INDEX(Расходка[Наименование расходного материала],MATCH(Расходка[[#This Row],[№]],Поиск_расходки[Индекс8],0)),"")</f>
        <v>Runthrough NS Hypercoat</v>
      </c>
      <c r="Z41" s="114" t="str">
        <f>IFERROR(INDEX(Расходка[Наименование расходного материала],MATCH(Расходка[[#This Row],[№]],Поиск_расходки[Индекс9],0)),"")</f>
        <v>Runthrough NS Hypercoat</v>
      </c>
      <c r="AA41" s="114" t="str">
        <f>IFERROR(INDEX(Расходка[Наименование расходного материала],MATCH(Расходка[[#This Row],[№]],Поиск_расходки[Индекс10],0)),"")</f>
        <v>Runthrough NS Hypercoat</v>
      </c>
      <c r="AB41" s="114" t="str">
        <f>IFERROR(INDEX(Расходка[Наименование расходного материала],MATCH(Расходка[[#This Row],[№]],Поиск_расходки[Индекс11],0)),"")</f>
        <v>Runthrough NS Hypercoat</v>
      </c>
      <c r="AC41" s="114" t="str">
        <f>IFERROR(INDEX(Расходка[Наименование расходного материала],MATCH(Расходка[[#This Row],[№]],Поиск_расходки[Индекс12],0)),"")</f>
        <v>Runthrough NS Hypercoat</v>
      </c>
      <c r="AD41" s="114" t="str">
        <f>IFERROR(INDEX(Расходка[Наименование расходного материала],MATCH(Расходка[[#This Row],[№]],Поиск_расходки[Индекс13],0)),"")</f>
        <v>Runthrough NS Hypercoat</v>
      </c>
      <c r="AF41" s="4" t="s">
        <v>6</v>
      </c>
      <c r="AG41" s="4" t="s">
        <v>434</v>
      </c>
    </row>
    <row r="42" spans="1:33">
      <c r="A42">
        <f>ROW(Расходка[[#This Row],[Тип расходного материала ]])-1</f>
        <v>41</v>
      </c>
      <c r="B42" t="s">
        <v>3</v>
      </c>
      <c r="C42" s="1" t="s">
        <v>358</v>
      </c>
      <c r="E42" s="115">
        <f>IF(ISNUMBER(SEARCH('Карта учёта'!$B$13,Расходка[[#This Row],[Наименование расходного материала]])),MAX($E$1:E41)+1,0)</f>
        <v>0</v>
      </c>
      <c r="F42" s="115">
        <f>IF(ISNUMBER(SEARCH('Карта учёта'!$B$14,Расходка[[#This Row],[Наименование расходного материала]])),MAX($F$1:F41)+1,0)</f>
        <v>0</v>
      </c>
      <c r="G42" s="115">
        <f>IF(ISNUMBER(SEARCH('Карта учёта'!$B$15,Расходка[[#This Row],[Наименование расходного материала]])),MAX($G$1:G41)+1,0)</f>
        <v>41</v>
      </c>
      <c r="H42" s="115">
        <f>IF(ISNUMBER(SEARCH('Карта учёта'!$B$16,Расходка[[#This Row],[Наименование расходного материала]])),MAX($H$1:H41)+1,0)</f>
        <v>41</v>
      </c>
      <c r="I42" s="115">
        <f>IF(ISNUMBER(SEARCH('Карта учёта'!$B$17,Расходка[[#This Row],[Наименование расходного материала]])),MAX($I$1:I41)+1,0)</f>
        <v>41</v>
      </c>
      <c r="J42" s="115">
        <f>IF(ISNUMBER(SEARCH('Карта учёта'!$B$18,Расходка[[#This Row],[Наименование расходного материала]])),MAX($J$1:J41)+1,0)</f>
        <v>41</v>
      </c>
      <c r="K42" s="115">
        <f>IF(ISNUMBER(SEARCH('Карта учёта'!$B$19,Расходка[[#This Row],[Наименование расходного материала]])),MAX($K$1:K41)+1,0)</f>
        <v>41</v>
      </c>
      <c r="L42" s="115">
        <f>IF(ISNUMBER(SEARCH('Карта учёта'!$B$20,Расходка[[#This Row],[Наименование расходного материала]])),MAX($L$1:L41)+1,0)</f>
        <v>41</v>
      </c>
      <c r="M42" s="115">
        <f>IF(ISNUMBER(SEARCH('Карта учёта'!$B$21,Расходка[[#This Row],[Наименование расходного материала]])),MAX($M$1:M41)+1,0)</f>
        <v>41</v>
      </c>
      <c r="N42" s="115">
        <f>IF(ISNUMBER(SEARCH('Карта учёта'!$B$22,Расходка[[#This Row],[Наименование расходного материала]])),MAX($N$1:N41)+1,0)</f>
        <v>41</v>
      </c>
      <c r="O42" s="115">
        <f>IF(ISNUMBER(SEARCH('Карта учёта'!$B$23,Расходка[[#This Row],[Наименование расходного материала]])),MAX($O$1:O41)+1,0)</f>
        <v>41</v>
      </c>
      <c r="P42" s="115">
        <f>IF(ISNUMBER(SEARCH('Карта учёта'!$B$24,Расходка[[#This Row],[Наименование расходного материала]])),MAX($P$1:P41)+1,0)</f>
        <v>41</v>
      </c>
      <c r="Q42" s="115">
        <f>IF(ISNUMBER(SEARCH('Карта учёта'!$B$25,Расходка[[#This Row],[Наименование расходного материала]])),MAX($Q$1:Q41)+1,0)</f>
        <v>41</v>
      </c>
      <c r="R42" s="114" t="str">
        <f>IFERROR(INDEX(Расходка[Наименование расходного материала],MATCH(Расходка[[#This Row],[№]],Поиск_расходки[Индекс1],0)),"")</f>
        <v/>
      </c>
      <c r="S42" s="114" t="str">
        <f>IFERROR(INDEX(Расходка[Наименование расходного материала],MATCH(Расходка[[#This Row],[№]],Поиск_расходки[Индекс2],0)),"")</f>
        <v/>
      </c>
      <c r="T42" s="114" t="str">
        <f>IFERROR(INDEX(Расходка[Наименование расходного материала],MATCH(Расходка[[#This Row],[№]],Поиск_расходки[Индекс3],0)),"")</f>
        <v>Runthrough NS Intermediate</v>
      </c>
      <c r="U42" s="114" t="str">
        <f>IFERROR(INDEX(Расходка[Наименование расходного материала],MATCH(Расходка[[#This Row],[№]],Поиск_расходки[Индекс4],0)),"")</f>
        <v>Runthrough NS Intermediate</v>
      </c>
      <c r="V42" s="114" t="str">
        <f>IFERROR(INDEX(Расходка[Наименование расходного материала],MATCH(Расходка[[#This Row],[№]],Поиск_расходки[Индекс5],0)),"")</f>
        <v>Runthrough NS Intermediate</v>
      </c>
      <c r="W42" s="114" t="str">
        <f>IFERROR(INDEX(Расходка[Наименование расходного материала],MATCH(Расходка[[#This Row],[№]],Поиск_расходки[Индекс6],0)),"")</f>
        <v>Runthrough NS Intermediate</v>
      </c>
      <c r="X42" s="114" t="str">
        <f>IFERROR(INDEX(Расходка[Наименование расходного материала],MATCH(Расходка[[#This Row],[№]],Поиск_расходки[Индекс7],0)),"")</f>
        <v>Runthrough NS Intermediate</v>
      </c>
      <c r="Y42" s="114" t="str">
        <f>IFERROR(INDEX(Расходка[Наименование расходного материала],MATCH(Расходка[[#This Row],[№]],Поиск_расходки[Индекс8],0)),"")</f>
        <v>Runthrough NS Intermediate</v>
      </c>
      <c r="Z42" s="114" t="str">
        <f>IFERROR(INDEX(Расходка[Наименование расходного материала],MATCH(Расходка[[#This Row],[№]],Поиск_расходки[Индекс9],0)),"")</f>
        <v>Runthrough NS Intermediate</v>
      </c>
      <c r="AA42" s="114" t="str">
        <f>IFERROR(INDEX(Расходка[Наименование расходного материала],MATCH(Расходка[[#This Row],[№]],Поиск_расходки[Индекс10],0)),"")</f>
        <v>Runthrough NS Intermediate</v>
      </c>
      <c r="AB42" s="114" t="str">
        <f>IFERROR(INDEX(Расходка[Наименование расходного материала],MATCH(Расходка[[#This Row],[№]],Поиск_расходки[Индекс11],0)),"")</f>
        <v>Runthrough NS Intermediate</v>
      </c>
      <c r="AC42" s="114" t="str">
        <f>IFERROR(INDEX(Расходка[Наименование расходного материала],MATCH(Расходка[[#This Row],[№]],Поиск_расходки[Индекс12],0)),"")</f>
        <v>Runthrough NS Intermediate</v>
      </c>
      <c r="AD42" s="114" t="str">
        <f>IFERROR(INDEX(Расходка[Наименование расходного материала],MATCH(Расходка[[#This Row],[№]],Поиск_расходки[Индекс13],0)),"")</f>
        <v>Runthrough NS Intermediate</v>
      </c>
      <c r="AF42" s="4" t="s">
        <v>6</v>
      </c>
      <c r="AG42" s="4" t="s">
        <v>435</v>
      </c>
    </row>
    <row r="43" spans="1:33">
      <c r="A43">
        <f>ROW(Расходка[[#This Row],[Тип расходного материала ]])-1</f>
        <v>42</v>
      </c>
      <c r="B43" t="s">
        <v>3</v>
      </c>
      <c r="C43" t="s">
        <v>314</v>
      </c>
      <c r="E43" s="115">
        <f>IF(ISNUMBER(SEARCH('Карта учёта'!$B$13,Расходка[[#This Row],[Наименование расходного материала]])),MAX($E$1:E42)+1,0)</f>
        <v>0</v>
      </c>
      <c r="F43" s="115">
        <f>IF(ISNUMBER(SEARCH('Карта учёта'!$B$14,Расходка[[#This Row],[Наименование расходного материала]])),MAX($F$1:F42)+1,0)</f>
        <v>0</v>
      </c>
      <c r="G43" s="115">
        <f>IF(ISNUMBER(SEARCH('Карта учёта'!$B$15,Расходка[[#This Row],[Наименование расходного материала]])),MAX($G$1:G42)+1,0)</f>
        <v>42</v>
      </c>
      <c r="H43" s="115">
        <f>IF(ISNUMBER(SEARCH('Карта учёта'!$B$16,Расходка[[#This Row],[Наименование расходного материала]])),MAX($H$1:H42)+1,0)</f>
        <v>42</v>
      </c>
      <c r="I43" s="115">
        <f>IF(ISNUMBER(SEARCH('Карта учёта'!$B$17,Расходка[[#This Row],[Наименование расходного материала]])),MAX($I$1:I42)+1,0)</f>
        <v>42</v>
      </c>
      <c r="J43" s="115">
        <f>IF(ISNUMBER(SEARCH('Карта учёта'!$B$18,Расходка[[#This Row],[Наименование расходного материала]])),MAX($J$1:J42)+1,0)</f>
        <v>42</v>
      </c>
      <c r="K43" s="115">
        <f>IF(ISNUMBER(SEARCH('Карта учёта'!$B$19,Расходка[[#This Row],[Наименование расходного материала]])),MAX($K$1:K42)+1,0)</f>
        <v>42</v>
      </c>
      <c r="L43" s="115">
        <f>IF(ISNUMBER(SEARCH('Карта учёта'!$B$20,Расходка[[#This Row],[Наименование расходного материала]])),MAX($L$1:L42)+1,0)</f>
        <v>42</v>
      </c>
      <c r="M43" s="115">
        <f>IF(ISNUMBER(SEARCH('Карта учёта'!$B$21,Расходка[[#This Row],[Наименование расходного материала]])),MAX($M$1:M42)+1,0)</f>
        <v>42</v>
      </c>
      <c r="N43" s="115">
        <f>IF(ISNUMBER(SEARCH('Карта учёта'!$B$22,Расходка[[#This Row],[Наименование расходного материала]])),MAX($N$1:N42)+1,0)</f>
        <v>42</v>
      </c>
      <c r="O43" s="115">
        <f>IF(ISNUMBER(SEARCH('Карта учёта'!$B$23,Расходка[[#This Row],[Наименование расходного материала]])),MAX($O$1:O42)+1,0)</f>
        <v>42</v>
      </c>
      <c r="P43" s="115">
        <f>IF(ISNUMBER(SEARCH('Карта учёта'!$B$24,Расходка[[#This Row],[Наименование расходного материала]])),MAX($P$1:P42)+1,0)</f>
        <v>42</v>
      </c>
      <c r="Q43" s="115">
        <f>IF(ISNUMBER(SEARCH('Карта учёта'!$B$25,Расходка[[#This Row],[Наименование расходного материала]])),MAX($Q$1:Q42)+1,0)</f>
        <v>42</v>
      </c>
      <c r="R43" s="114" t="str">
        <f>IFERROR(INDEX(Расходка[Наименование расходного материала],MATCH(Расходка[[#This Row],[№]],Поиск_расходки[Индекс1],0)),"")</f>
        <v/>
      </c>
      <c r="S43" s="114" t="str">
        <f>IFERROR(INDEX(Расходка[Наименование расходного материала],MATCH(Расходка[[#This Row],[№]],Поиск_расходки[Индекс2],0)),"")</f>
        <v/>
      </c>
      <c r="T43" s="114" t="str">
        <f>IFERROR(INDEX(Расходка[Наименование расходного материала],MATCH(Расходка[[#This Row],[№]],Поиск_расходки[Индекс3],0)),"")</f>
        <v>Sion</v>
      </c>
      <c r="U43" s="114" t="str">
        <f>IFERROR(INDEX(Расходка[Наименование расходного материала],MATCH(Расходка[[#This Row],[№]],Поиск_расходки[Индекс4],0)),"")</f>
        <v>Sion</v>
      </c>
      <c r="V43" s="114" t="str">
        <f>IFERROR(INDEX(Расходка[Наименование расходного материала],MATCH(Расходка[[#This Row],[№]],Поиск_расходки[Индекс5],0)),"")</f>
        <v>Sion</v>
      </c>
      <c r="W43" s="114" t="str">
        <f>IFERROR(INDEX(Расходка[Наименование расходного материала],MATCH(Расходка[[#This Row],[№]],Поиск_расходки[Индекс6],0)),"")</f>
        <v>Sion</v>
      </c>
      <c r="X43" s="114" t="str">
        <f>IFERROR(INDEX(Расходка[Наименование расходного материала],MATCH(Расходка[[#This Row],[№]],Поиск_расходки[Индекс7],0)),"")</f>
        <v>Sion</v>
      </c>
      <c r="Y43" s="114" t="str">
        <f>IFERROR(INDEX(Расходка[Наименование расходного материала],MATCH(Расходка[[#This Row],[№]],Поиск_расходки[Индекс8],0)),"")</f>
        <v>Sion</v>
      </c>
      <c r="Z43" s="114" t="str">
        <f>IFERROR(INDEX(Расходка[Наименование расходного материала],MATCH(Расходка[[#This Row],[№]],Поиск_расходки[Индекс9],0)),"")</f>
        <v>Sion</v>
      </c>
      <c r="AA43" s="114" t="str">
        <f>IFERROR(INDEX(Расходка[Наименование расходного материала],MATCH(Расходка[[#This Row],[№]],Поиск_расходки[Индекс10],0)),"")</f>
        <v>Sion</v>
      </c>
      <c r="AB43" s="114" t="str">
        <f>IFERROR(INDEX(Расходка[Наименование расходного материала],MATCH(Расходка[[#This Row],[№]],Поиск_расходки[Индекс11],0)),"")</f>
        <v>Sion</v>
      </c>
      <c r="AC43" s="114" t="str">
        <f>IFERROR(INDEX(Расходка[Наименование расходного материала],MATCH(Расходка[[#This Row],[№]],Поиск_расходки[Индекс12],0)),"")</f>
        <v>Sion</v>
      </c>
      <c r="AD43" s="114" t="str">
        <f>IFERROR(INDEX(Расходка[Наименование расходного материала],MATCH(Расходка[[#This Row],[№]],Поиск_расходки[Индекс13],0)),"")</f>
        <v>Sion</v>
      </c>
      <c r="AF43" s="4" t="s">
        <v>6</v>
      </c>
      <c r="AG43" s="4" t="s">
        <v>408</v>
      </c>
    </row>
    <row r="44" spans="1:33">
      <c r="A44">
        <f>ROW(Расходка[[#This Row],[Тип расходного материала ]])-1</f>
        <v>43</v>
      </c>
      <c r="B44" t="s">
        <v>3</v>
      </c>
      <c r="C44" t="s">
        <v>376</v>
      </c>
      <c r="E44" s="115">
        <f>IF(ISNUMBER(SEARCH('Карта учёта'!$B$13,Расходка[[#This Row],[Наименование расходного материала]])),MAX($E$1:E43)+1,0)</f>
        <v>0</v>
      </c>
      <c r="F44" s="115">
        <f>IF(ISNUMBER(SEARCH('Карта учёта'!$B$14,Расходка[[#This Row],[Наименование расходного материала]])),MAX($F$1:F43)+1,0)</f>
        <v>0</v>
      </c>
      <c r="G44" s="115">
        <f>IF(ISNUMBER(SEARCH('Карта учёта'!$B$15,Расходка[[#This Row],[Наименование расходного материала]])),MAX($G$1:G43)+1,0)</f>
        <v>43</v>
      </c>
      <c r="H44" s="115">
        <f>IF(ISNUMBER(SEARCH('Карта учёта'!$B$16,Расходка[[#This Row],[Наименование расходного материала]])),MAX($H$1:H43)+1,0)</f>
        <v>43</v>
      </c>
      <c r="I44" s="115">
        <f>IF(ISNUMBER(SEARCH('Карта учёта'!$B$17,Расходка[[#This Row],[Наименование расходного материала]])),MAX($I$1:I43)+1,0)</f>
        <v>43</v>
      </c>
      <c r="J44" s="115">
        <f>IF(ISNUMBER(SEARCH('Карта учёта'!$B$18,Расходка[[#This Row],[Наименование расходного материала]])),MAX($J$1:J43)+1,0)</f>
        <v>43</v>
      </c>
      <c r="K44" s="115">
        <f>IF(ISNUMBER(SEARCH('Карта учёта'!$B$19,Расходка[[#This Row],[Наименование расходного материала]])),MAX($K$1:K43)+1,0)</f>
        <v>43</v>
      </c>
      <c r="L44" s="115">
        <f>IF(ISNUMBER(SEARCH('Карта учёта'!$B$20,Расходка[[#This Row],[Наименование расходного материала]])),MAX($L$1:L43)+1,0)</f>
        <v>43</v>
      </c>
      <c r="M44" s="115">
        <f>IF(ISNUMBER(SEARCH('Карта учёта'!$B$21,Расходка[[#This Row],[Наименование расходного материала]])),MAX($M$1:M43)+1,0)</f>
        <v>43</v>
      </c>
      <c r="N44" s="115">
        <f>IF(ISNUMBER(SEARCH('Карта учёта'!$B$22,Расходка[[#This Row],[Наименование расходного материала]])),MAX($N$1:N43)+1,0)</f>
        <v>43</v>
      </c>
      <c r="O44" s="115">
        <f>IF(ISNUMBER(SEARCH('Карта учёта'!$B$23,Расходка[[#This Row],[Наименование расходного материала]])),MAX($O$1:O43)+1,0)</f>
        <v>43</v>
      </c>
      <c r="P44" s="115">
        <f>IF(ISNUMBER(SEARCH('Карта учёта'!$B$24,Расходка[[#This Row],[Наименование расходного материала]])),MAX($P$1:P43)+1,0)</f>
        <v>43</v>
      </c>
      <c r="Q44" s="115">
        <f>IF(ISNUMBER(SEARCH('Карта учёта'!$B$25,Расходка[[#This Row],[Наименование расходного материала]])),MAX($Q$1:Q43)+1,0)</f>
        <v>43</v>
      </c>
      <c r="R44" s="114" t="str">
        <f>IFERROR(INDEX(Расходка[Наименование расходного материала],MATCH(Расходка[[#This Row],[№]],Поиск_расходки[Индекс1],0)),"")</f>
        <v/>
      </c>
      <c r="S44" s="114" t="str">
        <f>IFERROR(INDEX(Расходка[Наименование расходного материала],MATCH(Расходка[[#This Row],[№]],Поиск_расходки[Индекс2],0)),"")</f>
        <v/>
      </c>
      <c r="T44" s="114" t="str">
        <f>IFERROR(INDEX(Расходка[Наименование расходного материала],MATCH(Расходка[[#This Row],[№]],Поиск_расходки[Индекс3],0)),"")</f>
        <v>Sion Black</v>
      </c>
      <c r="U44" s="114" t="str">
        <f>IFERROR(INDEX(Расходка[Наименование расходного материала],MATCH(Расходка[[#This Row],[№]],Поиск_расходки[Индекс4],0)),"")</f>
        <v>Sion Black</v>
      </c>
      <c r="V44" s="114" t="str">
        <f>IFERROR(INDEX(Расходка[Наименование расходного материала],MATCH(Расходка[[#This Row],[№]],Поиск_расходки[Индекс5],0)),"")</f>
        <v>Sion Black</v>
      </c>
      <c r="W44" s="114" t="str">
        <f>IFERROR(INDEX(Расходка[Наименование расходного материала],MATCH(Расходка[[#This Row],[№]],Поиск_расходки[Индекс6],0)),"")</f>
        <v>Sion Black</v>
      </c>
      <c r="X44" s="114" t="str">
        <f>IFERROR(INDEX(Расходка[Наименование расходного материала],MATCH(Расходка[[#This Row],[№]],Поиск_расходки[Индекс7],0)),"")</f>
        <v>Sion Black</v>
      </c>
      <c r="Y44" s="114" t="str">
        <f>IFERROR(INDEX(Расходка[Наименование расходного материала],MATCH(Расходка[[#This Row],[№]],Поиск_расходки[Индекс8],0)),"")</f>
        <v>Sion Black</v>
      </c>
      <c r="Z44" s="114" t="str">
        <f>IFERROR(INDEX(Расходка[Наименование расходного материала],MATCH(Расходка[[#This Row],[№]],Поиск_расходки[Индекс9],0)),"")</f>
        <v>Sion Black</v>
      </c>
      <c r="AA44" s="114" t="str">
        <f>IFERROR(INDEX(Расходка[Наименование расходного материала],MATCH(Расходка[[#This Row],[№]],Поиск_расходки[Индекс10],0)),"")</f>
        <v>Sion Black</v>
      </c>
      <c r="AB44" s="114" t="str">
        <f>IFERROR(INDEX(Расходка[Наименование расходного материала],MATCH(Расходка[[#This Row],[№]],Поиск_расходки[Индекс11],0)),"")</f>
        <v>Sion Black</v>
      </c>
      <c r="AC44" s="114" t="str">
        <f>IFERROR(INDEX(Расходка[Наименование расходного материала],MATCH(Расходка[[#This Row],[№]],Поиск_расходки[Индекс12],0)),"")</f>
        <v>Sion Black</v>
      </c>
      <c r="AD44" s="114" t="str">
        <f>IFERROR(INDEX(Расходка[Наименование расходного материала],MATCH(Расходка[[#This Row],[№]],Поиск_расходки[Индекс13],0)),"")</f>
        <v>Sion Black</v>
      </c>
      <c r="AF44" s="4" t="s">
        <v>6</v>
      </c>
      <c r="AG44" s="4" t="s">
        <v>436</v>
      </c>
    </row>
    <row r="45" spans="1:33">
      <c r="A45">
        <f>ROW(Расходка[[#This Row],[Тип расходного материала ]])-1</f>
        <v>44</v>
      </c>
      <c r="B45" t="s">
        <v>3</v>
      </c>
      <c r="C45" s="1" t="s">
        <v>370</v>
      </c>
      <c r="E45" s="115">
        <f>IF(ISNUMBER(SEARCH('Карта учёта'!$B$13,Расходка[[#This Row],[Наименование расходного материала]])),MAX($E$1:E44)+1,0)</f>
        <v>0</v>
      </c>
      <c r="F45" s="115">
        <f>IF(ISNUMBER(SEARCH('Карта учёта'!$B$14,Расходка[[#This Row],[Наименование расходного материала]])),MAX($F$1:F44)+1,0)</f>
        <v>0</v>
      </c>
      <c r="G45" s="115">
        <f>IF(ISNUMBER(SEARCH('Карта учёта'!$B$15,Расходка[[#This Row],[Наименование расходного материала]])),MAX($G$1:G44)+1,0)</f>
        <v>44</v>
      </c>
      <c r="H45" s="115">
        <f>IF(ISNUMBER(SEARCH('Карта учёта'!$B$16,Расходка[[#This Row],[Наименование расходного материала]])),MAX($H$1:H44)+1,0)</f>
        <v>44</v>
      </c>
      <c r="I45" s="115">
        <f>IF(ISNUMBER(SEARCH('Карта учёта'!$B$17,Расходка[[#This Row],[Наименование расходного материала]])),MAX($I$1:I44)+1,0)</f>
        <v>44</v>
      </c>
      <c r="J45" s="115">
        <f>IF(ISNUMBER(SEARCH('Карта учёта'!$B$18,Расходка[[#This Row],[Наименование расходного материала]])),MAX($J$1:J44)+1,0)</f>
        <v>44</v>
      </c>
      <c r="K45" s="115">
        <f>IF(ISNUMBER(SEARCH('Карта учёта'!$B$19,Расходка[[#This Row],[Наименование расходного материала]])),MAX($K$1:K44)+1,0)</f>
        <v>44</v>
      </c>
      <c r="L45" s="115">
        <f>IF(ISNUMBER(SEARCH('Карта учёта'!$B$20,Расходка[[#This Row],[Наименование расходного материала]])),MAX($L$1:L44)+1,0)</f>
        <v>44</v>
      </c>
      <c r="M45" s="115">
        <f>IF(ISNUMBER(SEARCH('Карта учёта'!$B$21,Расходка[[#This Row],[Наименование расходного материала]])),MAX($M$1:M44)+1,0)</f>
        <v>44</v>
      </c>
      <c r="N45" s="115">
        <f>IF(ISNUMBER(SEARCH('Карта учёта'!$B$22,Расходка[[#This Row],[Наименование расходного материала]])),MAX($N$1:N44)+1,0)</f>
        <v>44</v>
      </c>
      <c r="O45" s="115">
        <f>IF(ISNUMBER(SEARCH('Карта учёта'!$B$23,Расходка[[#This Row],[Наименование расходного материала]])),MAX($O$1:O44)+1,0)</f>
        <v>44</v>
      </c>
      <c r="P45" s="115">
        <f>IF(ISNUMBER(SEARCH('Карта учёта'!$B$24,Расходка[[#This Row],[Наименование расходного материала]])),MAX($P$1:P44)+1,0)</f>
        <v>44</v>
      </c>
      <c r="Q45" s="115">
        <f>IF(ISNUMBER(SEARCH('Карта учёта'!$B$25,Расходка[[#This Row],[Наименование расходного материала]])),MAX($Q$1:Q44)+1,0)</f>
        <v>44</v>
      </c>
      <c r="R45" s="114" t="str">
        <f>IFERROR(INDEX(Расходка[Наименование расходного материала],MATCH(Расходка[[#This Row],[№]],Поиск_расходки[Индекс1],0)),"")</f>
        <v/>
      </c>
      <c r="S45" s="114" t="str">
        <f>IFERROR(INDEX(Расходка[Наименование расходного материала],MATCH(Расходка[[#This Row],[№]],Поиск_расходки[Индекс2],0)),"")</f>
        <v/>
      </c>
      <c r="T45" s="114" t="str">
        <f>IFERROR(INDEX(Расходка[Наименование расходного материала],MATCH(Расходка[[#This Row],[№]],Поиск_расходки[Индекс3],0)),"")</f>
        <v>Sion Blue</v>
      </c>
      <c r="U45" s="114" t="str">
        <f>IFERROR(INDEX(Расходка[Наименование расходного материала],MATCH(Расходка[[#This Row],[№]],Поиск_расходки[Индекс4],0)),"")</f>
        <v>Sion Blue</v>
      </c>
      <c r="V45" s="114" t="str">
        <f>IFERROR(INDEX(Расходка[Наименование расходного материала],MATCH(Расходка[[#This Row],[№]],Поиск_расходки[Индекс5],0)),"")</f>
        <v>Sion Blue</v>
      </c>
      <c r="W45" s="114" t="str">
        <f>IFERROR(INDEX(Расходка[Наименование расходного материала],MATCH(Расходка[[#This Row],[№]],Поиск_расходки[Индекс6],0)),"")</f>
        <v>Sion Blue</v>
      </c>
      <c r="X45" s="114" t="str">
        <f>IFERROR(INDEX(Расходка[Наименование расходного материала],MATCH(Расходка[[#This Row],[№]],Поиск_расходки[Индекс7],0)),"")</f>
        <v>Sion Blue</v>
      </c>
      <c r="Y45" s="114" t="str">
        <f>IFERROR(INDEX(Расходка[Наименование расходного материала],MATCH(Расходка[[#This Row],[№]],Поиск_расходки[Индекс8],0)),"")</f>
        <v>Sion Blue</v>
      </c>
      <c r="Z45" s="114" t="str">
        <f>IFERROR(INDEX(Расходка[Наименование расходного материала],MATCH(Расходка[[#This Row],[№]],Поиск_расходки[Индекс9],0)),"")</f>
        <v>Sion Blue</v>
      </c>
      <c r="AA45" s="114" t="str">
        <f>IFERROR(INDEX(Расходка[Наименование расходного материала],MATCH(Расходка[[#This Row],[№]],Поиск_расходки[Индекс10],0)),"")</f>
        <v>Sion Blue</v>
      </c>
      <c r="AB45" s="114" t="str">
        <f>IFERROR(INDEX(Расходка[Наименование расходного материала],MATCH(Расходка[[#This Row],[№]],Поиск_расходки[Индекс11],0)),"")</f>
        <v>Sion Blue</v>
      </c>
      <c r="AC45" s="114" t="str">
        <f>IFERROR(INDEX(Расходка[Наименование расходного материала],MATCH(Расходка[[#This Row],[№]],Поиск_расходки[Индекс12],0)),"")</f>
        <v>Sion Blue</v>
      </c>
      <c r="AD45" s="114" t="str">
        <f>IFERROR(INDEX(Расходка[Наименование расходного материала],MATCH(Расходка[[#This Row],[№]],Поиск_расходки[Индекс13],0)),"")</f>
        <v>Sion Blue</v>
      </c>
      <c r="AF45" s="4" t="s">
        <v>6</v>
      </c>
      <c r="AG45" s="4" t="s">
        <v>437</v>
      </c>
    </row>
    <row r="46" spans="1:33">
      <c r="A46">
        <f>ROW(Расходка[[#This Row],[Тип расходного материала ]])-1</f>
        <v>45</v>
      </c>
      <c r="B46" t="s">
        <v>3</v>
      </c>
      <c r="C46" t="s">
        <v>316</v>
      </c>
      <c r="E46" s="115">
        <f>IF(ISNUMBER(SEARCH('Карта учёта'!$B$13,Расходка[[#This Row],[Наименование расходного материала]])),MAX($E$1:E45)+1,0)</f>
        <v>0</v>
      </c>
      <c r="F46" s="115">
        <f>IF(ISNUMBER(SEARCH('Карта учёта'!$B$14,Расходка[[#This Row],[Наименование расходного материала]])),MAX($F$1:F45)+1,0)</f>
        <v>0</v>
      </c>
      <c r="G46" s="115">
        <f>IF(ISNUMBER(SEARCH('Карта учёта'!$B$15,Расходка[[#This Row],[Наименование расходного материала]])),MAX($G$1:G45)+1,0)</f>
        <v>45</v>
      </c>
      <c r="H46" s="115">
        <f>IF(ISNUMBER(SEARCH('Карта учёта'!$B$16,Расходка[[#This Row],[Наименование расходного материала]])),MAX($H$1:H45)+1,0)</f>
        <v>45</v>
      </c>
      <c r="I46" s="115">
        <f>IF(ISNUMBER(SEARCH('Карта учёта'!$B$17,Расходка[[#This Row],[Наименование расходного материала]])),MAX($I$1:I45)+1,0)</f>
        <v>45</v>
      </c>
      <c r="J46" s="115">
        <f>IF(ISNUMBER(SEARCH('Карта учёта'!$B$18,Расходка[[#This Row],[Наименование расходного материала]])),MAX($J$1:J45)+1,0)</f>
        <v>45</v>
      </c>
      <c r="K46" s="115">
        <f>IF(ISNUMBER(SEARCH('Карта учёта'!$B$19,Расходка[[#This Row],[Наименование расходного материала]])),MAX($K$1:K45)+1,0)</f>
        <v>45</v>
      </c>
      <c r="L46" s="115">
        <f>IF(ISNUMBER(SEARCH('Карта учёта'!$B$20,Расходка[[#This Row],[Наименование расходного материала]])),MAX($L$1:L45)+1,0)</f>
        <v>45</v>
      </c>
      <c r="M46" s="115">
        <f>IF(ISNUMBER(SEARCH('Карта учёта'!$B$21,Расходка[[#This Row],[Наименование расходного материала]])),MAX($M$1:M45)+1,0)</f>
        <v>45</v>
      </c>
      <c r="N46" s="115">
        <f>IF(ISNUMBER(SEARCH('Карта учёта'!$B$22,Расходка[[#This Row],[Наименование расходного материала]])),MAX($N$1:N45)+1,0)</f>
        <v>45</v>
      </c>
      <c r="O46" s="115">
        <f>IF(ISNUMBER(SEARCH('Карта учёта'!$B$23,Расходка[[#This Row],[Наименование расходного материала]])),MAX($O$1:O45)+1,0)</f>
        <v>45</v>
      </c>
      <c r="P46" s="115">
        <f>IF(ISNUMBER(SEARCH('Карта учёта'!$B$24,Расходка[[#This Row],[Наименование расходного материала]])),MAX($P$1:P45)+1,0)</f>
        <v>45</v>
      </c>
      <c r="Q46" s="115">
        <f>IF(ISNUMBER(SEARCH('Карта учёта'!$B$25,Расходка[[#This Row],[Наименование расходного материала]])),MAX($Q$1:Q45)+1,0)</f>
        <v>45</v>
      </c>
      <c r="R46" s="114" t="str">
        <f>IFERROR(INDEX(Расходка[Наименование расходного материала],MATCH(Расходка[[#This Row],[№]],Поиск_расходки[Индекс1],0)),"")</f>
        <v/>
      </c>
      <c r="S46" s="114" t="str">
        <f>IFERROR(INDEX(Расходка[Наименование расходного материала],MATCH(Расходка[[#This Row],[№]],Поиск_расходки[Индекс2],0)),"")</f>
        <v/>
      </c>
      <c r="T46" s="114" t="str">
        <f>IFERROR(INDEX(Расходка[Наименование расходного материала],MATCH(Расходка[[#This Row],[№]],Поиск_расходки[Индекс3],0)),"")</f>
        <v>Thunder</v>
      </c>
      <c r="U46" s="114" t="str">
        <f>IFERROR(INDEX(Расходка[Наименование расходного материала],MATCH(Расходка[[#This Row],[№]],Поиск_расходки[Индекс4],0)),"")</f>
        <v>Thunder</v>
      </c>
      <c r="V46" s="114" t="str">
        <f>IFERROR(INDEX(Расходка[Наименование расходного материала],MATCH(Расходка[[#This Row],[№]],Поиск_расходки[Индекс5],0)),"")</f>
        <v>Thunder</v>
      </c>
      <c r="W46" s="114" t="str">
        <f>IFERROR(INDEX(Расходка[Наименование расходного материала],MATCH(Расходка[[#This Row],[№]],Поиск_расходки[Индекс6],0)),"")</f>
        <v>Thunder</v>
      </c>
      <c r="X46" s="114" t="str">
        <f>IFERROR(INDEX(Расходка[Наименование расходного материала],MATCH(Расходка[[#This Row],[№]],Поиск_расходки[Индекс7],0)),"")</f>
        <v>Thunder</v>
      </c>
      <c r="Y46" s="114" t="str">
        <f>IFERROR(INDEX(Расходка[Наименование расходного материала],MATCH(Расходка[[#This Row],[№]],Поиск_расходки[Индекс8],0)),"")</f>
        <v>Thunder</v>
      </c>
      <c r="Z46" s="114" t="str">
        <f>IFERROR(INDEX(Расходка[Наименование расходного материала],MATCH(Расходка[[#This Row],[№]],Поиск_расходки[Индекс9],0)),"")</f>
        <v>Thunder</v>
      </c>
      <c r="AA46" s="114" t="str">
        <f>IFERROR(INDEX(Расходка[Наименование расходного материала],MATCH(Расходка[[#This Row],[№]],Поиск_расходки[Индекс10],0)),"")</f>
        <v>Thunder</v>
      </c>
      <c r="AB46" s="114" t="str">
        <f>IFERROR(INDEX(Расходка[Наименование расходного материала],MATCH(Расходка[[#This Row],[№]],Поиск_расходки[Индекс11],0)),"")</f>
        <v>Thunder</v>
      </c>
      <c r="AC46" s="114" t="str">
        <f>IFERROR(INDEX(Расходка[Наименование расходного материала],MATCH(Расходка[[#This Row],[№]],Поиск_расходки[Индекс12],0)),"")</f>
        <v>Thunder</v>
      </c>
      <c r="AD46" s="114" t="str">
        <f>IFERROR(INDEX(Расходка[Наименование расходного материала],MATCH(Расходка[[#This Row],[№]],Поиск_расходки[Индекс13],0)),"")</f>
        <v>Thunder</v>
      </c>
      <c r="AF46" s="4" t="s">
        <v>6</v>
      </c>
      <c r="AG46" s="4" t="s">
        <v>438</v>
      </c>
    </row>
    <row r="47" spans="1:33">
      <c r="A47">
        <f>ROW(Расходка[[#This Row],[Тип расходного материала ]])-1</f>
        <v>46</v>
      </c>
      <c r="B47" t="s">
        <v>3</v>
      </c>
      <c r="C47" t="s">
        <v>517</v>
      </c>
      <c r="E47" s="115">
        <f>IF(ISNUMBER(SEARCH('Карта учёта'!$B$13,Расходка[[#This Row],[Наименование расходного материала]])),MAX($E$1:E46)+1,0)</f>
        <v>0</v>
      </c>
      <c r="F47" s="115">
        <f>IF(ISNUMBER(SEARCH('Карта учёта'!$B$14,Расходка[[#This Row],[Наименование расходного материала]])),MAX($F$1:F46)+1,0)</f>
        <v>0</v>
      </c>
      <c r="G47" s="115">
        <f>IF(ISNUMBER(SEARCH('Карта учёта'!$B$15,Расходка[[#This Row],[Наименование расходного материала]])),MAX($G$1:G46)+1,0)</f>
        <v>46</v>
      </c>
      <c r="H47" s="115">
        <f>IF(ISNUMBER(SEARCH('Карта учёта'!$B$16,Расходка[[#This Row],[Наименование расходного материала]])),MAX($H$1:H46)+1,0)</f>
        <v>46</v>
      </c>
      <c r="I47" s="115">
        <f>IF(ISNUMBER(SEARCH('Карта учёта'!$B$17,Расходка[[#This Row],[Наименование расходного материала]])),MAX($I$1:I46)+1,0)</f>
        <v>46</v>
      </c>
      <c r="J47" s="115">
        <f>IF(ISNUMBER(SEARCH('Карта учёта'!$B$18,Расходка[[#This Row],[Наименование расходного материала]])),MAX($J$1:J46)+1,0)</f>
        <v>46</v>
      </c>
      <c r="K47" s="115">
        <f>IF(ISNUMBER(SEARCH('Карта учёта'!$B$19,Расходка[[#This Row],[Наименование расходного материала]])),MAX($K$1:K46)+1,0)</f>
        <v>46</v>
      </c>
      <c r="L47" s="115">
        <f>IF(ISNUMBER(SEARCH('Карта учёта'!$B$20,Расходка[[#This Row],[Наименование расходного материала]])),MAX($L$1:L46)+1,0)</f>
        <v>46</v>
      </c>
      <c r="M47" s="115">
        <f>IF(ISNUMBER(SEARCH('Карта учёта'!$B$21,Расходка[[#This Row],[Наименование расходного материала]])),MAX($M$1:M46)+1,0)</f>
        <v>46</v>
      </c>
      <c r="N47" s="115">
        <f>IF(ISNUMBER(SEARCH('Карта учёта'!$B$22,Расходка[[#This Row],[Наименование расходного материала]])),MAX($N$1:N46)+1,0)</f>
        <v>46</v>
      </c>
      <c r="O47" s="115">
        <f>IF(ISNUMBER(SEARCH('Карта учёта'!$B$23,Расходка[[#This Row],[Наименование расходного материала]])),MAX($O$1:O46)+1,0)</f>
        <v>46</v>
      </c>
      <c r="P47" s="115">
        <f>IF(ISNUMBER(SEARCH('Карта учёта'!$B$24,Расходка[[#This Row],[Наименование расходного материала]])),MAX($P$1:P46)+1,0)</f>
        <v>46</v>
      </c>
      <c r="Q47" s="115">
        <f>IF(ISNUMBER(SEARCH('Карта учёта'!$B$25,Расходка[[#This Row],[Наименование расходного материала]])),MAX($Q$1:Q46)+1,0)</f>
        <v>46</v>
      </c>
      <c r="R47" s="114" t="str">
        <f>IFERROR(INDEX(Расходка[Наименование расходного материала],MATCH(Расходка[[#This Row],[№]],Поиск_расходки[Индекс1],0)),"")</f>
        <v/>
      </c>
      <c r="S47" s="114" t="str">
        <f>IFERROR(INDEX(Расходка[Наименование расходного материала],MATCH(Расходка[[#This Row],[№]],Поиск_расходки[Индекс2],0)),"")</f>
        <v/>
      </c>
      <c r="T47" s="114" t="str">
        <f>IFERROR(INDEX(Расходка[Наименование расходного материала],MATCH(Расходка[[#This Row],[№]],Поиск_расходки[Индекс3],0)),"")</f>
        <v>Abbot Whisper MS</v>
      </c>
      <c r="U47" s="114" t="str">
        <f>IFERROR(INDEX(Расходка[Наименование расходного материала],MATCH(Расходка[[#This Row],[№]],Поиск_расходки[Индекс4],0)),"")</f>
        <v>Abbot Whisper MS</v>
      </c>
      <c r="V47" s="114" t="str">
        <f>IFERROR(INDEX(Расходка[Наименование расходного материала],MATCH(Расходка[[#This Row],[№]],Поиск_расходки[Индекс5],0)),"")</f>
        <v>Abbot Whisper MS</v>
      </c>
      <c r="W47" s="114" t="str">
        <f>IFERROR(INDEX(Расходка[Наименование расходного материала],MATCH(Расходка[[#This Row],[№]],Поиск_расходки[Индекс6],0)),"")</f>
        <v>Abbot Whisper MS</v>
      </c>
      <c r="X47" s="114" t="str">
        <f>IFERROR(INDEX(Расходка[Наименование расходного материала],MATCH(Расходка[[#This Row],[№]],Поиск_расходки[Индекс7],0)),"")</f>
        <v>Abbot Whisper MS</v>
      </c>
      <c r="Y47" s="114" t="str">
        <f>IFERROR(INDEX(Расходка[Наименование расходного материала],MATCH(Расходка[[#This Row],[№]],Поиск_расходки[Индекс8],0)),"")</f>
        <v>Abbot Whisper MS</v>
      </c>
      <c r="Z47" s="114" t="str">
        <f>IFERROR(INDEX(Расходка[Наименование расходного материала],MATCH(Расходка[[#This Row],[№]],Поиск_расходки[Индекс9],0)),"")</f>
        <v>Abbot Whisper MS</v>
      </c>
      <c r="AA47" s="114" t="str">
        <f>IFERROR(INDEX(Расходка[Наименование расходного материала],MATCH(Расходка[[#This Row],[№]],Поиск_расходки[Индекс10],0)),"")</f>
        <v>Abbot Whisper MS</v>
      </c>
      <c r="AB47" s="114" t="str">
        <f>IFERROR(INDEX(Расходка[Наименование расходного материала],MATCH(Расходка[[#This Row],[№]],Поиск_расходки[Индекс11],0)),"")</f>
        <v>Abbot Whisper MS</v>
      </c>
      <c r="AC47" s="114" t="str">
        <f>IFERROR(INDEX(Расходка[Наименование расходного материала],MATCH(Расходка[[#This Row],[№]],Поиск_расходки[Индекс12],0)),"")</f>
        <v>Abbot Whisper MS</v>
      </c>
      <c r="AD47" s="114" t="str">
        <f>IFERROR(INDEX(Расходка[Наименование расходного материала],MATCH(Расходка[[#This Row],[№]],Поиск_расходки[Индекс13],0)),"")</f>
        <v>Abbot Whisper MS</v>
      </c>
      <c r="AF47" s="4" t="s">
        <v>6</v>
      </c>
      <c r="AG47" s="4" t="s">
        <v>439</v>
      </c>
    </row>
    <row r="48" spans="1:33">
      <c r="A48">
        <f>ROW(Расходка[[#This Row],[Тип расходного материала ]])-1</f>
        <v>47</v>
      </c>
      <c r="B48" t="s">
        <v>3</v>
      </c>
      <c r="C48" t="s">
        <v>518</v>
      </c>
      <c r="E48" s="115">
        <f>IF(ISNUMBER(SEARCH('Карта учёта'!$B$13,Расходка[[#This Row],[Наименование расходного материала]])),MAX($E$1:E47)+1,0)</f>
        <v>0</v>
      </c>
      <c r="F48" s="115">
        <f>IF(ISNUMBER(SEARCH('Карта учёта'!$B$14,Расходка[[#This Row],[Наименование расходного материала]])),MAX($F$1:F47)+1,0)</f>
        <v>0</v>
      </c>
      <c r="G48" s="115">
        <f>IF(ISNUMBER(SEARCH('Карта учёта'!$B$15,Расходка[[#This Row],[Наименование расходного материала]])),MAX($G$1:G47)+1,0)</f>
        <v>47</v>
      </c>
      <c r="H48" s="115">
        <f>IF(ISNUMBER(SEARCH('Карта учёта'!$B$16,Расходка[[#This Row],[Наименование расходного материала]])),MAX($H$1:H47)+1,0)</f>
        <v>47</v>
      </c>
      <c r="I48" s="115">
        <f>IF(ISNUMBER(SEARCH('Карта учёта'!$B$17,Расходка[[#This Row],[Наименование расходного материала]])),MAX($I$1:I47)+1,0)</f>
        <v>47</v>
      </c>
      <c r="J48" s="115">
        <f>IF(ISNUMBER(SEARCH('Карта учёта'!$B$18,Расходка[[#This Row],[Наименование расходного материала]])),MAX($J$1:J47)+1,0)</f>
        <v>47</v>
      </c>
      <c r="K48" s="115">
        <f>IF(ISNUMBER(SEARCH('Карта учёта'!$B$19,Расходка[[#This Row],[Наименование расходного материала]])),MAX($K$1:K47)+1,0)</f>
        <v>47</v>
      </c>
      <c r="L48" s="115">
        <f>IF(ISNUMBER(SEARCH('Карта учёта'!$B$20,Расходка[[#This Row],[Наименование расходного материала]])),MAX($L$1:L47)+1,0)</f>
        <v>47</v>
      </c>
      <c r="M48" s="115">
        <f>IF(ISNUMBER(SEARCH('Карта учёта'!$B$21,Расходка[[#This Row],[Наименование расходного материала]])),MAX($M$1:M47)+1,0)</f>
        <v>47</v>
      </c>
      <c r="N48" s="115">
        <f>IF(ISNUMBER(SEARCH('Карта учёта'!$B$22,Расходка[[#This Row],[Наименование расходного материала]])),MAX($N$1:N47)+1,0)</f>
        <v>47</v>
      </c>
      <c r="O48" s="115">
        <f>IF(ISNUMBER(SEARCH('Карта учёта'!$B$23,Расходка[[#This Row],[Наименование расходного материала]])),MAX($O$1:O47)+1,0)</f>
        <v>47</v>
      </c>
      <c r="P48" s="115">
        <f>IF(ISNUMBER(SEARCH('Карта учёта'!$B$24,Расходка[[#This Row],[Наименование расходного материала]])),MAX($P$1:P47)+1,0)</f>
        <v>47</v>
      </c>
      <c r="Q48" s="115">
        <f>IF(ISNUMBER(SEARCH('Карта учёта'!$B$25,Расходка[[#This Row],[Наименование расходного материала]])),MAX($Q$1:Q47)+1,0)</f>
        <v>47</v>
      </c>
      <c r="R48" s="114" t="str">
        <f>IFERROR(INDEX(Расходка[Наименование расходного материала],MATCH(Расходка[[#This Row],[№]],Поиск_расходки[Индекс1],0)),"")</f>
        <v/>
      </c>
      <c r="S48" s="114" t="str">
        <f>IFERROR(INDEX(Расходка[Наименование расходного материала],MATCH(Расходка[[#This Row],[№]],Поиск_расходки[Индекс2],0)),"")</f>
        <v/>
      </c>
      <c r="T48" s="114" t="str">
        <f>IFERROR(INDEX(Расходка[Наименование расходного материала],MATCH(Расходка[[#This Row],[№]],Поиск_расходки[Индекс3],0)),"")</f>
        <v>Abbot Whisper LS</v>
      </c>
      <c r="U48" s="114" t="str">
        <f>IFERROR(INDEX(Расходка[Наименование расходного материала],MATCH(Расходка[[#This Row],[№]],Поиск_расходки[Индекс4],0)),"")</f>
        <v>Abbot Whisper LS</v>
      </c>
      <c r="V48" s="114" t="str">
        <f>IFERROR(INDEX(Расходка[Наименование расходного материала],MATCH(Расходка[[#This Row],[№]],Поиск_расходки[Индекс5],0)),"")</f>
        <v>Abbot Whisper LS</v>
      </c>
      <c r="W48" s="114" t="str">
        <f>IFERROR(INDEX(Расходка[Наименование расходного материала],MATCH(Расходка[[#This Row],[№]],Поиск_расходки[Индекс6],0)),"")</f>
        <v>Abbot Whisper LS</v>
      </c>
      <c r="X48" s="114" t="str">
        <f>IFERROR(INDEX(Расходка[Наименование расходного материала],MATCH(Расходка[[#This Row],[№]],Поиск_расходки[Индекс7],0)),"")</f>
        <v>Abbot Whisper LS</v>
      </c>
      <c r="Y48" s="114" t="str">
        <f>IFERROR(INDEX(Расходка[Наименование расходного материала],MATCH(Расходка[[#This Row],[№]],Поиск_расходки[Индекс8],0)),"")</f>
        <v>Abbot Whisper LS</v>
      </c>
      <c r="Z48" s="114" t="str">
        <f>IFERROR(INDEX(Расходка[Наименование расходного материала],MATCH(Расходка[[#This Row],[№]],Поиск_расходки[Индекс9],0)),"")</f>
        <v>Abbot Whisper LS</v>
      </c>
      <c r="AA48" s="114" t="str">
        <f>IFERROR(INDEX(Расходка[Наименование расходного материала],MATCH(Расходка[[#This Row],[№]],Поиск_расходки[Индекс10],0)),"")</f>
        <v>Abbot Whisper LS</v>
      </c>
      <c r="AB48" s="114" t="str">
        <f>IFERROR(INDEX(Расходка[Наименование расходного материала],MATCH(Расходка[[#This Row],[№]],Поиск_расходки[Индекс11],0)),"")</f>
        <v>Abbot Whisper LS</v>
      </c>
      <c r="AC48" s="114" t="str">
        <f>IFERROR(INDEX(Расходка[Наименование расходного материала],MATCH(Расходка[[#This Row],[№]],Поиск_расходки[Индекс12],0)),"")</f>
        <v>Abbot Whisper LS</v>
      </c>
      <c r="AD48" s="114" t="str">
        <f>IFERROR(INDEX(Расходка[Наименование расходного материала],MATCH(Расходка[[#This Row],[№]],Поиск_расходки[Индекс13],0)),"")</f>
        <v>Abbot Whisper LS</v>
      </c>
      <c r="AF48" s="4" t="s">
        <v>6</v>
      </c>
      <c r="AG48" s="4" t="s">
        <v>440</v>
      </c>
    </row>
    <row r="49" spans="1:33">
      <c r="A49">
        <f>ROW(Расходка[[#This Row],[Тип расходного материала ]])-1</f>
        <v>48</v>
      </c>
      <c r="B49" t="s">
        <v>3</v>
      </c>
      <c r="C49" t="s">
        <v>360</v>
      </c>
      <c r="E49" s="115">
        <f>IF(ISNUMBER(SEARCH('Карта учёта'!$B$13,Расходка[[#This Row],[Наименование расходного материала]])),MAX($E$1:E48)+1,0)</f>
        <v>0</v>
      </c>
      <c r="F49" s="115">
        <f>IF(ISNUMBER(SEARCH('Карта учёта'!$B$14,Расходка[[#This Row],[Наименование расходного материала]])),MAX($F$1:F48)+1,0)</f>
        <v>0</v>
      </c>
      <c r="G49" s="115">
        <f>IF(ISNUMBER(SEARCH('Карта учёта'!$B$15,Расходка[[#This Row],[Наименование расходного материала]])),MAX($G$1:G48)+1,0)</f>
        <v>48</v>
      </c>
      <c r="H49" s="115">
        <f>IF(ISNUMBER(SEARCH('Карта учёта'!$B$16,Расходка[[#This Row],[Наименование расходного материала]])),MAX($H$1:H48)+1,0)</f>
        <v>48</v>
      </c>
      <c r="I49" s="115">
        <f>IF(ISNUMBER(SEARCH('Карта учёта'!$B$17,Расходка[[#This Row],[Наименование расходного материала]])),MAX($I$1:I48)+1,0)</f>
        <v>48</v>
      </c>
      <c r="J49" s="115">
        <f>IF(ISNUMBER(SEARCH('Карта учёта'!$B$18,Расходка[[#This Row],[Наименование расходного материала]])),MAX($J$1:J48)+1,0)</f>
        <v>48</v>
      </c>
      <c r="K49" s="115">
        <f>IF(ISNUMBER(SEARCH('Карта учёта'!$B$19,Расходка[[#This Row],[Наименование расходного материала]])),MAX($K$1:K48)+1,0)</f>
        <v>48</v>
      </c>
      <c r="L49" s="115">
        <f>IF(ISNUMBER(SEARCH('Карта учёта'!$B$20,Расходка[[#This Row],[Наименование расходного материала]])),MAX($L$1:L48)+1,0)</f>
        <v>48</v>
      </c>
      <c r="M49" s="115">
        <f>IF(ISNUMBER(SEARCH('Карта учёта'!$B$21,Расходка[[#This Row],[Наименование расходного материала]])),MAX($M$1:M48)+1,0)</f>
        <v>48</v>
      </c>
      <c r="N49" s="115">
        <f>IF(ISNUMBER(SEARCH('Карта учёта'!$B$22,Расходка[[#This Row],[Наименование расходного материала]])),MAX($N$1:N48)+1,0)</f>
        <v>48</v>
      </c>
      <c r="O49" s="115">
        <f>IF(ISNUMBER(SEARCH('Карта учёта'!$B$23,Расходка[[#This Row],[Наименование расходного материала]])),MAX($O$1:O48)+1,0)</f>
        <v>48</v>
      </c>
      <c r="P49" s="115">
        <f>IF(ISNUMBER(SEARCH('Карта учёта'!$B$24,Расходка[[#This Row],[Наименование расходного материала]])),MAX($P$1:P48)+1,0)</f>
        <v>48</v>
      </c>
      <c r="Q49" s="115">
        <f>IF(ISNUMBER(SEARCH('Карта учёта'!$B$25,Расходка[[#This Row],[Наименование расходного материала]])),MAX($Q$1:Q48)+1,0)</f>
        <v>48</v>
      </c>
      <c r="R49" s="114" t="str">
        <f>IFERROR(INDEX(Расходка[Наименование расходного материала],MATCH(Расходка[[#This Row],[№]],Поиск_расходки[Индекс1],0)),"")</f>
        <v/>
      </c>
      <c r="S49" s="114" t="str">
        <f>IFERROR(INDEX(Расходка[Наименование расходного материала],MATCH(Расходка[[#This Row],[№]],Поиск_расходки[Индекс2],0)),"")</f>
        <v/>
      </c>
      <c r="T49" s="114" t="str">
        <f>IFERROR(INDEX(Расходка[Наименование расходного материала],MATCH(Расходка[[#This Row],[№]],Поиск_расходки[Индекс3],0)),"")</f>
        <v>Winn 200T</v>
      </c>
      <c r="U49" s="114" t="str">
        <f>IFERROR(INDEX(Расходка[Наименование расходного материала],MATCH(Расходка[[#This Row],[№]],Поиск_расходки[Индекс4],0)),"")</f>
        <v>Winn 200T</v>
      </c>
      <c r="V49" s="114" t="str">
        <f>IFERROR(INDEX(Расходка[Наименование расходного материала],MATCH(Расходка[[#This Row],[№]],Поиск_расходки[Индекс5],0)),"")</f>
        <v>Winn 200T</v>
      </c>
      <c r="W49" s="114" t="str">
        <f>IFERROR(INDEX(Расходка[Наименование расходного материала],MATCH(Расходка[[#This Row],[№]],Поиск_расходки[Индекс6],0)),"")</f>
        <v>Winn 200T</v>
      </c>
      <c r="X49" s="114" t="str">
        <f>IFERROR(INDEX(Расходка[Наименование расходного материала],MATCH(Расходка[[#This Row],[№]],Поиск_расходки[Индекс7],0)),"")</f>
        <v>Winn 200T</v>
      </c>
      <c r="Y49" s="114" t="str">
        <f>IFERROR(INDEX(Расходка[Наименование расходного материала],MATCH(Расходка[[#This Row],[№]],Поиск_расходки[Индекс8],0)),"")</f>
        <v>Winn 200T</v>
      </c>
      <c r="Z49" s="114" t="str">
        <f>IFERROR(INDEX(Расходка[Наименование расходного материала],MATCH(Расходка[[#This Row],[№]],Поиск_расходки[Индекс9],0)),"")</f>
        <v>Winn 200T</v>
      </c>
      <c r="AA49" s="114" t="str">
        <f>IFERROR(INDEX(Расходка[Наименование расходного материала],MATCH(Расходка[[#This Row],[№]],Поиск_расходки[Индекс10],0)),"")</f>
        <v>Winn 200T</v>
      </c>
      <c r="AB49" s="114" t="str">
        <f>IFERROR(INDEX(Расходка[Наименование расходного материала],MATCH(Расходка[[#This Row],[№]],Поиск_расходки[Индекс11],0)),"")</f>
        <v>Winn 200T</v>
      </c>
      <c r="AC49" s="114" t="str">
        <f>IFERROR(INDEX(Расходка[Наименование расходного материала],MATCH(Расходка[[#This Row],[№]],Поиск_расходки[Индекс12],0)),"")</f>
        <v>Winn 200T</v>
      </c>
      <c r="AD49" s="114" t="str">
        <f>IFERROR(INDEX(Расходка[Наименование расходного материала],MATCH(Расходка[[#This Row],[№]],Поиск_расходки[Индекс13],0)),"")</f>
        <v>Winn 200T</v>
      </c>
      <c r="AF49" s="4" t="s">
        <v>6</v>
      </c>
      <c r="AG49" s="4" t="s">
        <v>441</v>
      </c>
    </row>
    <row r="50" spans="1:33">
      <c r="A50">
        <f>ROW(Расходка[[#This Row],[Тип расходного материала ]])-1</f>
        <v>49</v>
      </c>
      <c r="B50" t="s">
        <v>3</v>
      </c>
      <c r="C50" t="s">
        <v>345</v>
      </c>
      <c r="E50" s="115">
        <f>IF(ISNUMBER(SEARCH('Карта учёта'!$B$13,Расходка[[#This Row],[Наименование расходного материала]])),MAX($E$1:E49)+1,0)</f>
        <v>0</v>
      </c>
      <c r="F50" s="115">
        <f>IF(ISNUMBER(SEARCH('Карта учёта'!$B$14,Расходка[[#This Row],[Наименование расходного материала]])),MAX($F$1:F49)+1,0)</f>
        <v>0</v>
      </c>
      <c r="G50" s="115">
        <f>IF(ISNUMBER(SEARCH('Карта учёта'!$B$15,Расходка[[#This Row],[Наименование расходного материала]])),MAX($G$1:G49)+1,0)</f>
        <v>49</v>
      </c>
      <c r="H50" s="115">
        <f>IF(ISNUMBER(SEARCH('Карта учёта'!$B$16,Расходка[[#This Row],[Наименование расходного материала]])),MAX($H$1:H49)+1,0)</f>
        <v>49</v>
      </c>
      <c r="I50" s="115">
        <f>IF(ISNUMBER(SEARCH('Карта учёта'!$B$17,Расходка[[#This Row],[Наименование расходного материала]])),MAX($I$1:I49)+1,0)</f>
        <v>49</v>
      </c>
      <c r="J50" s="115">
        <f>IF(ISNUMBER(SEARCH('Карта учёта'!$B$18,Расходка[[#This Row],[Наименование расходного материала]])),MAX($J$1:J49)+1,0)</f>
        <v>49</v>
      </c>
      <c r="K50" s="115">
        <f>IF(ISNUMBER(SEARCH('Карта учёта'!$B$19,Расходка[[#This Row],[Наименование расходного материала]])),MAX($K$1:K49)+1,0)</f>
        <v>49</v>
      </c>
      <c r="L50" s="115">
        <f>IF(ISNUMBER(SEARCH('Карта учёта'!$B$20,Расходка[[#This Row],[Наименование расходного материала]])),MAX($L$1:L49)+1,0)</f>
        <v>49</v>
      </c>
      <c r="M50" s="115">
        <f>IF(ISNUMBER(SEARCH('Карта учёта'!$B$21,Расходка[[#This Row],[Наименование расходного материала]])),MAX($M$1:M49)+1,0)</f>
        <v>49</v>
      </c>
      <c r="N50" s="115">
        <f>IF(ISNUMBER(SEARCH('Карта учёта'!$B$22,Расходка[[#This Row],[Наименование расходного материала]])),MAX($N$1:N49)+1,0)</f>
        <v>49</v>
      </c>
      <c r="O50" s="115">
        <f>IF(ISNUMBER(SEARCH('Карта учёта'!$B$23,Расходка[[#This Row],[Наименование расходного материала]])),MAX($O$1:O49)+1,0)</f>
        <v>49</v>
      </c>
      <c r="P50" s="115">
        <f>IF(ISNUMBER(SEARCH('Карта учёта'!$B$24,Расходка[[#This Row],[Наименование расходного материала]])),MAX($P$1:P49)+1,0)</f>
        <v>49</v>
      </c>
      <c r="Q50" s="115">
        <f>IF(ISNUMBER(SEARCH('Карта учёта'!$B$25,Расходка[[#This Row],[Наименование расходного материала]])),MAX($Q$1:Q49)+1,0)</f>
        <v>49</v>
      </c>
      <c r="R50" s="114" t="str">
        <f>IFERROR(INDEX(Расходка[Наименование расходного материала],MATCH(Расходка[[#This Row],[№]],Поиск_расходки[Индекс1],0)),"")</f>
        <v/>
      </c>
      <c r="S50" s="114" t="str">
        <f>IFERROR(INDEX(Расходка[Наименование расходного материала],MATCH(Расходка[[#This Row],[№]],Поиск_расходки[Индекс2],0)),"")</f>
        <v/>
      </c>
      <c r="T50" s="114" t="str">
        <f>IFERROR(INDEX(Расходка[Наименование расходного материала],MATCH(Расходка[[#This Row],[№]],Поиск_расходки[Индекс3],0)),"")</f>
        <v>Проводник коронарный  1g, Angioline</v>
      </c>
      <c r="U50" s="114" t="str">
        <f>IFERROR(INDEX(Расходка[Наименование расходного материала],MATCH(Расходка[[#This Row],[№]],Поиск_расходки[Индекс4],0)),"")</f>
        <v>Проводник коронарный  1g, Angioline</v>
      </c>
      <c r="V50" s="114" t="str">
        <f>IFERROR(INDEX(Расходка[Наименование расходного материала],MATCH(Расходка[[#This Row],[№]],Поиск_расходки[Индекс5],0)),"")</f>
        <v>Проводник коронарный  1g, Angioline</v>
      </c>
      <c r="W50" s="114" t="str">
        <f>IFERROR(INDEX(Расходка[Наименование расходного материала],MATCH(Расходка[[#This Row],[№]],Поиск_расходки[Индекс6],0)),"")</f>
        <v>Проводник коронарный  1g, Angioline</v>
      </c>
      <c r="X50" s="114" t="str">
        <f>IFERROR(INDEX(Расходка[Наименование расходного материала],MATCH(Расходка[[#This Row],[№]],Поиск_расходки[Индекс7],0)),"")</f>
        <v>Проводник коронарный  1g, Angioline</v>
      </c>
      <c r="Y50" s="114" t="str">
        <f>IFERROR(INDEX(Расходка[Наименование расходного материала],MATCH(Расходка[[#This Row],[№]],Поиск_расходки[Индекс8],0)),"")</f>
        <v>Проводник коронарный  1g, Angioline</v>
      </c>
      <c r="Z50" s="114" t="str">
        <f>IFERROR(INDEX(Расходка[Наименование расходного материала],MATCH(Расходка[[#This Row],[№]],Поиск_расходки[Индекс9],0)),"")</f>
        <v>Проводник коронарный  1g, Angioline</v>
      </c>
      <c r="AA50" s="114" t="str">
        <f>IFERROR(INDEX(Расходка[Наименование расходного материала],MATCH(Расходка[[#This Row],[№]],Поиск_расходки[Индекс10],0)),"")</f>
        <v>Проводник коронарный  1g, Angioline</v>
      </c>
      <c r="AB50" s="114" t="str">
        <f>IFERROR(INDEX(Расходка[Наименование расходного материала],MATCH(Расходка[[#This Row],[№]],Поиск_расходки[Индекс11],0)),"")</f>
        <v>Проводник коронарный  1g, Angioline</v>
      </c>
      <c r="AC50" s="114" t="str">
        <f>IFERROR(INDEX(Расходка[Наименование расходного материала],MATCH(Расходка[[#This Row],[№]],Поиск_расходки[Индекс12],0)),"")</f>
        <v>Проводник коронарный  1g, Angioline</v>
      </c>
      <c r="AD50" s="114" t="str">
        <f>IFERROR(INDEX(Расходка[Наименование расходного материала],MATCH(Расходка[[#This Row],[№]],Поиск_расходки[Индекс13],0)),"")</f>
        <v>Проводник коронарный  1g, Angioline</v>
      </c>
      <c r="AF50" s="4" t="s">
        <v>6</v>
      </c>
      <c r="AG50" s="4" t="s">
        <v>442</v>
      </c>
    </row>
    <row r="51" spans="1:33">
      <c r="A51">
        <f>ROW(Расходка[[#This Row],[Тип расходного материала ]])-1</f>
        <v>50</v>
      </c>
      <c r="B51" t="s">
        <v>3</v>
      </c>
      <c r="C51" t="s">
        <v>508</v>
      </c>
      <c r="E51" s="115">
        <f>IF(ISNUMBER(SEARCH('Карта учёта'!$B$13,Расходка[[#This Row],[Наименование расходного материала]])),MAX($E$1:E50)+1,0)</f>
        <v>0</v>
      </c>
      <c r="F51" s="115">
        <f>IF(ISNUMBER(SEARCH('Карта учёта'!$B$14,Расходка[[#This Row],[Наименование расходного материала]])),MAX($F$1:F50)+1,0)</f>
        <v>0</v>
      </c>
      <c r="G51" s="115">
        <f>IF(ISNUMBER(SEARCH('Карта учёта'!$B$15,Расходка[[#This Row],[Наименование расходного материала]])),MAX($G$1:G50)+1,0)</f>
        <v>50</v>
      </c>
      <c r="H51" s="115">
        <f>IF(ISNUMBER(SEARCH('Карта учёта'!$B$16,Расходка[[#This Row],[Наименование расходного материала]])),MAX($H$1:H50)+1,0)</f>
        <v>50</v>
      </c>
      <c r="I51" s="115">
        <f>IF(ISNUMBER(SEARCH('Карта учёта'!$B$17,Расходка[[#This Row],[Наименование расходного материала]])),MAX($I$1:I50)+1,0)</f>
        <v>50</v>
      </c>
      <c r="J51" s="115">
        <f>IF(ISNUMBER(SEARCH('Карта учёта'!$B$18,Расходка[[#This Row],[Наименование расходного материала]])),MAX($J$1:J50)+1,0)</f>
        <v>50</v>
      </c>
      <c r="K51" s="115">
        <f>IF(ISNUMBER(SEARCH('Карта учёта'!$B$19,Расходка[[#This Row],[Наименование расходного материала]])),MAX($K$1:K50)+1,0)</f>
        <v>50</v>
      </c>
      <c r="L51" s="115">
        <f>IF(ISNUMBER(SEARCH('Карта учёта'!$B$20,Расходка[[#This Row],[Наименование расходного материала]])),MAX($L$1:L50)+1,0)</f>
        <v>50</v>
      </c>
      <c r="M51" s="115">
        <f>IF(ISNUMBER(SEARCH('Карта учёта'!$B$21,Расходка[[#This Row],[Наименование расходного материала]])),MAX($M$1:M50)+1,0)</f>
        <v>50</v>
      </c>
      <c r="N51" s="115">
        <f>IF(ISNUMBER(SEARCH('Карта учёта'!$B$22,Расходка[[#This Row],[Наименование расходного материала]])),MAX($N$1:N50)+1,0)</f>
        <v>50</v>
      </c>
      <c r="O51" s="115">
        <f>IF(ISNUMBER(SEARCH('Карта учёта'!$B$23,Расходка[[#This Row],[Наименование расходного материала]])),MAX($O$1:O50)+1,0)</f>
        <v>50</v>
      </c>
      <c r="P51" s="115">
        <f>IF(ISNUMBER(SEARCH('Карта учёта'!$B$24,Расходка[[#This Row],[Наименование расходного материала]])),MAX($P$1:P50)+1,0)</f>
        <v>50</v>
      </c>
      <c r="Q51" s="115">
        <f>IF(ISNUMBER(SEARCH('Карта учёта'!$B$25,Расходка[[#This Row],[Наименование расходного материала]])),MAX($Q$1:Q50)+1,0)</f>
        <v>50</v>
      </c>
      <c r="R51" s="114" t="str">
        <f>IFERROR(INDEX(Расходка[Наименование расходного материала],MATCH(Расходка[[#This Row],[№]],Поиск_расходки[Индекс1],0)),"")</f>
        <v/>
      </c>
      <c r="S51" s="114" t="str">
        <f>IFERROR(INDEX(Расходка[Наименование расходного материала],MATCH(Расходка[[#This Row],[№]],Поиск_расходки[Индекс2],0)),"")</f>
        <v/>
      </c>
      <c r="T51" s="114" t="str">
        <f>IFERROR(INDEX(Расходка[Наименование расходного материала],MATCH(Расходка[[#This Row],[№]],Поиск_расходки[Индекс3],0)),"")</f>
        <v>Проводник коронарный  0,8g, Angioline</v>
      </c>
      <c r="U51" s="114" t="str">
        <f>IFERROR(INDEX(Расходка[Наименование расходного материала],MATCH(Расходка[[#This Row],[№]],Поиск_расходки[Индекс4],0)),"")</f>
        <v>Проводник коронарный  0,8g, Angioline</v>
      </c>
      <c r="V51" s="114" t="str">
        <f>IFERROR(INDEX(Расходка[Наименование расходного материала],MATCH(Расходка[[#This Row],[№]],Поиск_расходки[Индекс5],0)),"")</f>
        <v>Проводник коронарный  0,8g, Angioline</v>
      </c>
      <c r="W51" s="114" t="str">
        <f>IFERROR(INDEX(Расходка[Наименование расходного материала],MATCH(Расходка[[#This Row],[№]],Поиск_расходки[Индекс6],0)),"")</f>
        <v>Проводник коронарный  0,8g, Angioline</v>
      </c>
      <c r="X51" s="114" t="str">
        <f>IFERROR(INDEX(Расходка[Наименование расходного материала],MATCH(Расходка[[#This Row],[№]],Поиск_расходки[Индекс7],0)),"")</f>
        <v>Проводник коронарный  0,8g, Angioline</v>
      </c>
      <c r="Y51" s="114" t="str">
        <f>IFERROR(INDEX(Расходка[Наименование расходного материала],MATCH(Расходка[[#This Row],[№]],Поиск_расходки[Индекс8],0)),"")</f>
        <v>Проводник коронарный  0,8g, Angioline</v>
      </c>
      <c r="Z51" s="114" t="str">
        <f>IFERROR(INDEX(Расходка[Наименование расходного материала],MATCH(Расходка[[#This Row],[№]],Поиск_расходки[Индекс9],0)),"")</f>
        <v>Проводник коронарный  0,8g, Angioline</v>
      </c>
      <c r="AA51" s="114" t="str">
        <f>IFERROR(INDEX(Расходка[Наименование расходного материала],MATCH(Расходка[[#This Row],[№]],Поиск_расходки[Индекс10],0)),"")</f>
        <v>Проводник коронарный  0,8g, Angioline</v>
      </c>
      <c r="AB51" s="114" t="str">
        <f>IFERROR(INDEX(Расходка[Наименование расходного материала],MATCH(Расходка[[#This Row],[№]],Поиск_расходки[Индекс11],0)),"")</f>
        <v>Проводник коронарный  0,8g, Angioline</v>
      </c>
      <c r="AC51" s="114" t="str">
        <f>IFERROR(INDEX(Расходка[Наименование расходного материала],MATCH(Расходка[[#This Row],[№]],Поиск_расходки[Индекс12],0)),"")</f>
        <v>Проводник коронарный  0,8g, Angioline</v>
      </c>
      <c r="AD51" s="114" t="str">
        <f>IFERROR(INDEX(Расходка[Наименование расходного материала],MATCH(Расходка[[#This Row],[№]],Поиск_расходки[Индекс13],0)),"")</f>
        <v>Проводник коронарный  0,8g, Angioline</v>
      </c>
      <c r="AF51" s="4" t="s">
        <v>6</v>
      </c>
      <c r="AG51" s="4" t="s">
        <v>443</v>
      </c>
    </row>
    <row r="52" spans="1:33">
      <c r="A52">
        <f>ROW(Расходка[[#This Row],[Тип расходного материала ]])-1</f>
        <v>51</v>
      </c>
      <c r="B52" t="s">
        <v>3</v>
      </c>
      <c r="C52" t="s">
        <v>96</v>
      </c>
      <c r="E52" s="115">
        <f>IF(ISNUMBER(SEARCH('Карта учёта'!$B$13,Расходка[[#This Row],[Наименование расходного материала]])),MAX($E$1:E51)+1,0)</f>
        <v>0</v>
      </c>
      <c r="F52" s="115">
        <f>IF(ISNUMBER(SEARCH('Карта учёта'!$B$14,Расходка[[#This Row],[Наименование расходного материала]])),MAX($F$1:F51)+1,0)</f>
        <v>0</v>
      </c>
      <c r="G52" s="115">
        <f>IF(ISNUMBER(SEARCH('Карта учёта'!$B$15,Расходка[[#This Row],[Наименование расходного материала]])),MAX($G$1:G51)+1,0)</f>
        <v>51</v>
      </c>
      <c r="H52" s="115">
        <f>IF(ISNUMBER(SEARCH('Карта учёта'!$B$16,Расходка[[#This Row],[Наименование расходного материала]])),MAX($H$1:H51)+1,0)</f>
        <v>51</v>
      </c>
      <c r="I52" s="115">
        <f>IF(ISNUMBER(SEARCH('Карта учёта'!$B$17,Расходка[[#This Row],[Наименование расходного материала]])),MAX($I$1:I51)+1,0)</f>
        <v>51</v>
      </c>
      <c r="J52" s="115">
        <f>IF(ISNUMBER(SEARCH('Карта учёта'!$B$18,Расходка[[#This Row],[Наименование расходного материала]])),MAX($J$1:J51)+1,0)</f>
        <v>51</v>
      </c>
      <c r="K52" s="115">
        <f>IF(ISNUMBER(SEARCH('Карта учёта'!$B$19,Расходка[[#This Row],[Наименование расходного материала]])),MAX($K$1:K51)+1,0)</f>
        <v>51</v>
      </c>
      <c r="L52" s="115">
        <f>IF(ISNUMBER(SEARCH('Карта учёта'!$B$20,Расходка[[#This Row],[Наименование расходного материала]])),MAX($L$1:L51)+1,0)</f>
        <v>51</v>
      </c>
      <c r="M52" s="115">
        <f>IF(ISNUMBER(SEARCH('Карта учёта'!$B$21,Расходка[[#This Row],[Наименование расходного материала]])),MAX($M$1:M51)+1,0)</f>
        <v>51</v>
      </c>
      <c r="N52" s="115">
        <f>IF(ISNUMBER(SEARCH('Карта учёта'!$B$22,Расходка[[#This Row],[Наименование расходного материала]])),MAX($N$1:N51)+1,0)</f>
        <v>51</v>
      </c>
      <c r="O52" s="115">
        <f>IF(ISNUMBER(SEARCH('Карта учёта'!$B$23,Расходка[[#This Row],[Наименование расходного материала]])),MAX($O$1:O51)+1,0)</f>
        <v>51</v>
      </c>
      <c r="P52" s="115">
        <f>IF(ISNUMBER(SEARCH('Карта учёта'!$B$24,Расходка[[#This Row],[Наименование расходного материала]])),MAX($P$1:P51)+1,0)</f>
        <v>51</v>
      </c>
      <c r="Q52" s="115">
        <f>IF(ISNUMBER(SEARCH('Карта учёта'!$B$25,Расходка[[#This Row],[Наименование расходного материала]])),MAX($Q$1:Q51)+1,0)</f>
        <v>51</v>
      </c>
      <c r="R52" s="114" t="str">
        <f>IFERROR(INDEX(Расходка[Наименование расходного материала],MATCH(Расходка[[#This Row],[№]],Поиск_расходки[Индекс1],0)),"")</f>
        <v/>
      </c>
      <c r="S52" s="114" t="str">
        <f>IFERROR(INDEX(Расходка[Наименование расходного материала],MATCH(Расходка[[#This Row],[№]],Поиск_расходки[Индекс2],0)),"")</f>
        <v/>
      </c>
      <c r="T52" s="114" t="str">
        <f>IFERROR(INDEX(Расходка[Наименование расходного материала],MATCH(Расходка[[#This Row],[№]],Поиск_расходки[Индекс3],0)),"")</f>
        <v>Проводник коронарный  3g, Angioline</v>
      </c>
      <c r="U52" s="114" t="str">
        <f>IFERROR(INDEX(Расходка[Наименование расходного материала],MATCH(Расходка[[#This Row],[№]],Поиск_расходки[Индекс4],0)),"")</f>
        <v>Проводник коронарный  3g, Angioline</v>
      </c>
      <c r="V52" s="114" t="str">
        <f>IFERROR(INDEX(Расходка[Наименование расходного материала],MATCH(Расходка[[#This Row],[№]],Поиск_расходки[Индекс5],0)),"")</f>
        <v>Проводник коронарный  3g, Angioline</v>
      </c>
      <c r="W52" s="114" t="str">
        <f>IFERROR(INDEX(Расходка[Наименование расходного материала],MATCH(Расходка[[#This Row],[№]],Поиск_расходки[Индекс6],0)),"")</f>
        <v>Проводник коронарный  3g, Angioline</v>
      </c>
      <c r="X52" s="114" t="str">
        <f>IFERROR(INDEX(Расходка[Наименование расходного материала],MATCH(Расходка[[#This Row],[№]],Поиск_расходки[Индекс7],0)),"")</f>
        <v>Проводник коронарный  3g, Angioline</v>
      </c>
      <c r="Y52" s="114" t="str">
        <f>IFERROR(INDEX(Расходка[Наименование расходного материала],MATCH(Расходка[[#This Row],[№]],Поиск_расходки[Индекс8],0)),"")</f>
        <v>Проводник коронарный  3g, Angioline</v>
      </c>
      <c r="Z52" s="114" t="str">
        <f>IFERROR(INDEX(Расходка[Наименование расходного материала],MATCH(Расходка[[#This Row],[№]],Поиск_расходки[Индекс9],0)),"")</f>
        <v>Проводник коронарный  3g, Angioline</v>
      </c>
      <c r="AA52" s="114" t="str">
        <f>IFERROR(INDEX(Расходка[Наименование расходного материала],MATCH(Расходка[[#This Row],[№]],Поиск_расходки[Индекс10],0)),"")</f>
        <v>Проводник коронарный  3g, Angioline</v>
      </c>
      <c r="AB52" s="114" t="str">
        <f>IFERROR(INDEX(Расходка[Наименование расходного материала],MATCH(Расходка[[#This Row],[№]],Поиск_расходки[Индекс11],0)),"")</f>
        <v>Проводник коронарный  3g, Angioline</v>
      </c>
      <c r="AC52" s="114" t="str">
        <f>IFERROR(INDEX(Расходка[Наименование расходного материала],MATCH(Расходка[[#This Row],[№]],Поиск_расходки[Индекс12],0)),"")</f>
        <v>Проводник коронарный  3g, Angioline</v>
      </c>
      <c r="AD52" s="114" t="str">
        <f>IFERROR(INDEX(Расходка[Наименование расходного материала],MATCH(Расходка[[#This Row],[№]],Поиск_расходки[Индекс13],0)),"")</f>
        <v>Проводник коронарный  3g, Angioline</v>
      </c>
      <c r="AF52" s="4" t="s">
        <v>6</v>
      </c>
      <c r="AG52" s="4" t="s">
        <v>444</v>
      </c>
    </row>
    <row r="53" spans="1:33">
      <c r="A53">
        <f>ROW(Расходка[[#This Row],[Тип расходного материала ]])-1</f>
        <v>52</v>
      </c>
      <c r="B53" t="s">
        <v>3</v>
      </c>
      <c r="C53" t="s">
        <v>506</v>
      </c>
      <c r="E53" s="115">
        <f>IF(ISNUMBER(SEARCH('Карта учёта'!$B$13,Расходка[[#This Row],[Наименование расходного материала]])),MAX($E$1:E52)+1,0)</f>
        <v>0</v>
      </c>
      <c r="F53" s="115">
        <f>IF(ISNUMBER(SEARCH('Карта учёта'!$B$14,Расходка[[#This Row],[Наименование расходного материала]])),MAX($F$1:F52)+1,0)</f>
        <v>0</v>
      </c>
      <c r="G53" s="115">
        <f>IF(ISNUMBER(SEARCH('Карта учёта'!$B$15,Расходка[[#This Row],[Наименование расходного материала]])),MAX($G$1:G52)+1,0)</f>
        <v>52</v>
      </c>
      <c r="H53" s="115">
        <f>IF(ISNUMBER(SEARCH('Карта учёта'!$B$16,Расходка[[#This Row],[Наименование расходного материала]])),MAX($H$1:H52)+1,0)</f>
        <v>52</v>
      </c>
      <c r="I53" s="115">
        <f>IF(ISNUMBER(SEARCH('Карта учёта'!$B$17,Расходка[[#This Row],[Наименование расходного материала]])),MAX($I$1:I52)+1,0)</f>
        <v>52</v>
      </c>
      <c r="J53" s="115">
        <f>IF(ISNUMBER(SEARCH('Карта учёта'!$B$18,Расходка[[#This Row],[Наименование расходного материала]])),MAX($J$1:J52)+1,0)</f>
        <v>52</v>
      </c>
      <c r="K53" s="115">
        <f>IF(ISNUMBER(SEARCH('Карта учёта'!$B$19,Расходка[[#This Row],[Наименование расходного материала]])),MAX($K$1:K52)+1,0)</f>
        <v>52</v>
      </c>
      <c r="L53" s="115">
        <f>IF(ISNUMBER(SEARCH('Карта учёта'!$B$20,Расходка[[#This Row],[Наименование расходного материала]])),MAX($L$1:L52)+1,0)</f>
        <v>52</v>
      </c>
      <c r="M53" s="115">
        <f>IF(ISNUMBER(SEARCH('Карта учёта'!$B$21,Расходка[[#This Row],[Наименование расходного материала]])),MAX($M$1:M52)+1,0)</f>
        <v>52</v>
      </c>
      <c r="N53" s="115">
        <f>IF(ISNUMBER(SEARCH('Карта учёта'!$B$22,Расходка[[#This Row],[Наименование расходного материала]])),MAX($N$1:N52)+1,0)</f>
        <v>52</v>
      </c>
      <c r="O53" s="115">
        <f>IF(ISNUMBER(SEARCH('Карта учёта'!$B$23,Расходка[[#This Row],[Наименование расходного материала]])),MAX($O$1:O52)+1,0)</f>
        <v>52</v>
      </c>
      <c r="P53" s="115">
        <f>IF(ISNUMBER(SEARCH('Карта учёта'!$B$24,Расходка[[#This Row],[Наименование расходного материала]])),MAX($P$1:P52)+1,0)</f>
        <v>52</v>
      </c>
      <c r="Q53" s="115">
        <f>IF(ISNUMBER(SEARCH('Карта учёта'!$B$25,Расходка[[#This Row],[Наименование расходного материала]])),MAX($Q$1:Q52)+1,0)</f>
        <v>52</v>
      </c>
      <c r="R53" s="114" t="str">
        <f>IFERROR(INDEX(Расходка[Наименование расходного материала],MATCH(Расходка[[#This Row],[№]],Поиск_расходки[Индекс1],0)),"")</f>
        <v/>
      </c>
      <c r="S53" s="114" t="str">
        <f>IFERROR(INDEX(Расходка[Наименование расходного материала],MATCH(Расходка[[#This Row],[№]],Поиск_расходки[Индекс2],0)),"")</f>
        <v/>
      </c>
      <c r="T53" s="114" t="str">
        <f>IFERROR(INDEX(Расходка[Наименование расходного материала],MATCH(Расходка[[#This Row],[№]],Поиск_расходки[Индекс3],0)),"")</f>
        <v xml:space="preserve">Balancium </v>
      </c>
      <c r="U53" s="114" t="str">
        <f>IFERROR(INDEX(Расходка[Наименование расходного материала],MATCH(Расходка[[#This Row],[№]],Поиск_расходки[Индекс4],0)),"")</f>
        <v xml:space="preserve">Balancium </v>
      </c>
      <c r="V53" s="114" t="str">
        <f>IFERROR(INDEX(Расходка[Наименование расходного материала],MATCH(Расходка[[#This Row],[№]],Поиск_расходки[Индекс5],0)),"")</f>
        <v xml:space="preserve">Balancium </v>
      </c>
      <c r="W53" s="114" t="str">
        <f>IFERROR(INDEX(Расходка[Наименование расходного материала],MATCH(Расходка[[#This Row],[№]],Поиск_расходки[Индекс6],0)),"")</f>
        <v xml:space="preserve">Balancium </v>
      </c>
      <c r="X53" s="114" t="str">
        <f>IFERROR(INDEX(Расходка[Наименование расходного материала],MATCH(Расходка[[#This Row],[№]],Поиск_расходки[Индекс7],0)),"")</f>
        <v xml:space="preserve">Balancium </v>
      </c>
      <c r="Y53" s="114" t="str">
        <f>IFERROR(INDEX(Расходка[Наименование расходного материала],MATCH(Расходка[[#This Row],[№]],Поиск_расходки[Индекс8],0)),"")</f>
        <v xml:space="preserve">Balancium </v>
      </c>
      <c r="Z53" s="114" t="str">
        <f>IFERROR(INDEX(Расходка[Наименование расходного материала],MATCH(Расходка[[#This Row],[№]],Поиск_расходки[Индекс9],0)),"")</f>
        <v xml:space="preserve">Balancium </v>
      </c>
      <c r="AA53" s="114" t="str">
        <f>IFERROR(INDEX(Расходка[Наименование расходного материала],MATCH(Расходка[[#This Row],[№]],Поиск_расходки[Индекс10],0)),"")</f>
        <v xml:space="preserve">Balancium </v>
      </c>
      <c r="AB53" s="114" t="str">
        <f>IFERROR(INDEX(Расходка[Наименование расходного материала],MATCH(Расходка[[#This Row],[№]],Поиск_расходки[Индекс11],0)),"")</f>
        <v xml:space="preserve">Balancium </v>
      </c>
      <c r="AC53" s="114" t="str">
        <f>IFERROR(INDEX(Расходка[Наименование расходного материала],MATCH(Расходка[[#This Row],[№]],Поиск_расходки[Индекс12],0)),"")</f>
        <v xml:space="preserve">Balancium </v>
      </c>
      <c r="AD53" s="114" t="str">
        <f>IFERROR(INDEX(Расходка[Наименование расходного материала],MATCH(Расходка[[#This Row],[№]],Поиск_расходки[Индекс13],0)),"")</f>
        <v xml:space="preserve">Balancium </v>
      </c>
      <c r="AF53" s="4" t="s">
        <v>6</v>
      </c>
      <c r="AG53" s="4" t="s">
        <v>445</v>
      </c>
    </row>
    <row r="54" spans="1:33">
      <c r="A54">
        <f>ROW(Расходка[[#This Row],[Тип расходного материала ]])-1</f>
        <v>53</v>
      </c>
      <c r="B54" t="s">
        <v>3</v>
      </c>
      <c r="C54" t="s">
        <v>525</v>
      </c>
      <c r="E54" s="115">
        <f>IF(ISNUMBER(SEARCH('Карта учёта'!$B$13,Расходка[[#This Row],[Наименование расходного материала]])),MAX($E$1:E53)+1,0)</f>
        <v>0</v>
      </c>
      <c r="F54" s="115">
        <f>IF(ISNUMBER(SEARCH('Карта учёта'!$B$14,Расходка[[#This Row],[Наименование расходного материала]])),MAX($F$1:F53)+1,0)</f>
        <v>0</v>
      </c>
      <c r="G54" s="115">
        <f>IF(ISNUMBER(SEARCH('Карта учёта'!$B$15,Расходка[[#This Row],[Наименование расходного материала]])),MAX($G$1:G53)+1,0)</f>
        <v>53</v>
      </c>
      <c r="H54" s="115">
        <f>IF(ISNUMBER(SEARCH('Карта учёта'!$B$16,Расходка[[#This Row],[Наименование расходного материала]])),MAX($H$1:H53)+1,0)</f>
        <v>53</v>
      </c>
      <c r="I54" s="115">
        <f>IF(ISNUMBER(SEARCH('Карта учёта'!$B$17,Расходка[[#This Row],[Наименование расходного материала]])),MAX($I$1:I53)+1,0)</f>
        <v>53</v>
      </c>
      <c r="J54" s="115">
        <f>IF(ISNUMBER(SEARCH('Карта учёта'!$B$18,Расходка[[#This Row],[Наименование расходного материала]])),MAX($J$1:J53)+1,0)</f>
        <v>53</v>
      </c>
      <c r="K54" s="115">
        <f>IF(ISNUMBER(SEARCH('Карта учёта'!$B$19,Расходка[[#This Row],[Наименование расходного материала]])),MAX($K$1:K53)+1,0)</f>
        <v>53</v>
      </c>
      <c r="L54" s="115">
        <f>IF(ISNUMBER(SEARCH('Карта учёта'!$B$20,Расходка[[#This Row],[Наименование расходного материала]])),MAX($L$1:L53)+1,0)</f>
        <v>53</v>
      </c>
      <c r="M54" s="115">
        <f>IF(ISNUMBER(SEARCH('Карта учёта'!$B$21,Расходка[[#This Row],[Наименование расходного материала]])),MAX($M$1:M53)+1,0)</f>
        <v>53</v>
      </c>
      <c r="N54" s="115">
        <f>IF(ISNUMBER(SEARCH('Карта учёта'!$B$22,Расходка[[#This Row],[Наименование расходного материала]])),MAX($N$1:N53)+1,0)</f>
        <v>53</v>
      </c>
      <c r="O54" s="115">
        <f>IF(ISNUMBER(SEARCH('Карта учёта'!$B$23,Расходка[[#This Row],[Наименование расходного материала]])),MAX($O$1:O53)+1,0)</f>
        <v>53</v>
      </c>
      <c r="P54" s="115">
        <f>IF(ISNUMBER(SEARCH('Карта учёта'!$B$24,Расходка[[#This Row],[Наименование расходного материала]])),MAX($P$1:P53)+1,0)</f>
        <v>53</v>
      </c>
      <c r="Q54" s="115">
        <f>IF(ISNUMBER(SEARCH('Карта учёта'!$B$25,Расходка[[#This Row],[Наименование расходного материала]])),MAX($Q$1:Q53)+1,0)</f>
        <v>53</v>
      </c>
      <c r="R54" s="114" t="str">
        <f>IFERROR(INDEX(Расходка[Наименование расходного материала],MATCH(Расходка[[#This Row],[№]],Поиск_расходки[Индекс1],0)),"")</f>
        <v/>
      </c>
      <c r="S54" s="114" t="str">
        <f>IFERROR(INDEX(Расходка[Наименование расходного материала],MATCH(Расходка[[#This Row],[№]],Поиск_расходки[Индекс2],0)),"")</f>
        <v/>
      </c>
      <c r="T54" s="114" t="str">
        <f>IFERROR(INDEX(Расходка[Наименование расходного материала],MATCH(Расходка[[#This Row],[№]],Поиск_расходки[Индекс3],0)),"")</f>
        <v>Shunmei 0,6</v>
      </c>
      <c r="U54" s="114" t="str">
        <f>IFERROR(INDEX(Расходка[Наименование расходного материала],MATCH(Расходка[[#This Row],[№]],Поиск_расходки[Индекс4],0)),"")</f>
        <v>Shunmei 0,6</v>
      </c>
      <c r="V54" s="114" t="str">
        <f>IFERROR(INDEX(Расходка[Наименование расходного материала],MATCH(Расходка[[#This Row],[№]],Поиск_расходки[Индекс5],0)),"")</f>
        <v>Shunmei 0,6</v>
      </c>
      <c r="W54" s="114" t="str">
        <f>IFERROR(INDEX(Расходка[Наименование расходного материала],MATCH(Расходка[[#This Row],[№]],Поиск_расходки[Индекс6],0)),"")</f>
        <v>Shunmei 0,6</v>
      </c>
      <c r="X54" s="114" t="str">
        <f>IFERROR(INDEX(Расходка[Наименование расходного материала],MATCH(Расходка[[#This Row],[№]],Поиск_расходки[Индекс7],0)),"")</f>
        <v>Shunmei 0,6</v>
      </c>
      <c r="Y54" s="114" t="str">
        <f>IFERROR(INDEX(Расходка[Наименование расходного материала],MATCH(Расходка[[#This Row],[№]],Поиск_расходки[Индекс8],0)),"")</f>
        <v>Shunmei 0,6</v>
      </c>
      <c r="Z54" s="114" t="str">
        <f>IFERROR(INDEX(Расходка[Наименование расходного материала],MATCH(Расходка[[#This Row],[№]],Поиск_расходки[Индекс9],0)),"")</f>
        <v>Shunmei 0,6</v>
      </c>
      <c r="AA54" s="114" t="str">
        <f>IFERROR(INDEX(Расходка[Наименование расходного материала],MATCH(Расходка[[#This Row],[№]],Поиск_расходки[Индекс10],0)),"")</f>
        <v>Shunmei 0,6</v>
      </c>
      <c r="AB54" s="114" t="str">
        <f>IFERROR(INDEX(Расходка[Наименование расходного материала],MATCH(Расходка[[#This Row],[№]],Поиск_расходки[Индекс11],0)),"")</f>
        <v>Shunmei 0,6</v>
      </c>
      <c r="AC54" s="114" t="str">
        <f>IFERROR(INDEX(Расходка[Наименование расходного материала],MATCH(Расходка[[#This Row],[№]],Поиск_расходки[Индекс12],0)),"")</f>
        <v>Shunmei 0,6</v>
      </c>
      <c r="AD54" s="114" t="str">
        <f>IFERROR(INDEX(Расходка[Наименование расходного материала],MATCH(Расходка[[#This Row],[№]],Поиск_расходки[Индекс13],0)),"")</f>
        <v>Shunmei 0,6</v>
      </c>
      <c r="AF54" s="4" t="s">
        <v>6</v>
      </c>
      <c r="AG54" s="4" t="s">
        <v>446</v>
      </c>
    </row>
    <row r="55" spans="1:33">
      <c r="A55">
        <f>ROW(Расходка[[#This Row],[Тип расходного материала ]])-1</f>
        <v>54</v>
      </c>
      <c r="B55" t="s">
        <v>3</v>
      </c>
      <c r="C55" t="s">
        <v>526</v>
      </c>
      <c r="E55" s="115">
        <f>IF(ISNUMBER(SEARCH('Карта учёта'!$B$13,Расходка[[#This Row],[Наименование расходного материала]])),MAX($E$1:E54)+1,0)</f>
        <v>0</v>
      </c>
      <c r="F55" s="115">
        <f>IF(ISNUMBER(SEARCH('Карта учёта'!$B$14,Расходка[[#This Row],[Наименование расходного материала]])),MAX($F$1:F54)+1,0)</f>
        <v>1</v>
      </c>
      <c r="G55" s="115">
        <f>IF(ISNUMBER(SEARCH('Карта учёта'!$B$15,Расходка[[#This Row],[Наименование расходного материала]])),MAX($G$1:G54)+1,0)</f>
        <v>54</v>
      </c>
      <c r="H55" s="115">
        <f>IF(ISNUMBER(SEARCH('Карта учёта'!$B$16,Расходка[[#This Row],[Наименование расходного материала]])),MAX($H$1:H54)+1,0)</f>
        <v>54</v>
      </c>
      <c r="I55" s="115">
        <f>IF(ISNUMBER(SEARCH('Карта учёта'!$B$17,Расходка[[#This Row],[Наименование расходного материала]])),MAX($I$1:I54)+1,0)</f>
        <v>54</v>
      </c>
      <c r="J55" s="115">
        <f>IF(ISNUMBER(SEARCH('Карта учёта'!$B$18,Расходка[[#This Row],[Наименование расходного материала]])),MAX($J$1:J54)+1,0)</f>
        <v>54</v>
      </c>
      <c r="K55" s="115">
        <f>IF(ISNUMBER(SEARCH('Карта учёта'!$B$19,Расходка[[#This Row],[Наименование расходного материала]])),MAX($K$1:K54)+1,0)</f>
        <v>54</v>
      </c>
      <c r="L55" s="115">
        <f>IF(ISNUMBER(SEARCH('Карта учёта'!$B$20,Расходка[[#This Row],[Наименование расходного материала]])),MAX($L$1:L54)+1,0)</f>
        <v>54</v>
      </c>
      <c r="M55" s="115">
        <f>IF(ISNUMBER(SEARCH('Карта учёта'!$B$21,Расходка[[#This Row],[Наименование расходного материала]])),MAX($M$1:M54)+1,0)</f>
        <v>54</v>
      </c>
      <c r="N55" s="115">
        <f>IF(ISNUMBER(SEARCH('Карта учёта'!$B$22,Расходка[[#This Row],[Наименование расходного материала]])),MAX($N$1:N54)+1,0)</f>
        <v>54</v>
      </c>
      <c r="O55" s="115">
        <f>IF(ISNUMBER(SEARCH('Карта учёта'!$B$23,Расходка[[#This Row],[Наименование расходного материала]])),MAX($O$1:O54)+1,0)</f>
        <v>54</v>
      </c>
      <c r="P55" s="115">
        <f>IF(ISNUMBER(SEARCH('Карта учёта'!$B$24,Расходка[[#This Row],[Наименование расходного материала]])),MAX($P$1:P54)+1,0)</f>
        <v>54</v>
      </c>
      <c r="Q55" s="115">
        <f>IF(ISNUMBER(SEARCH('Карта учёта'!$B$25,Расходка[[#This Row],[Наименование расходного материала]])),MAX($Q$1:Q54)+1,0)</f>
        <v>54</v>
      </c>
      <c r="R55" s="114" t="str">
        <f>IFERROR(INDEX(Расходка[Наименование расходного материала],MATCH(Расходка[[#This Row],[№]],Поиск_расходки[Индекс1],0)),"")</f>
        <v/>
      </c>
      <c r="S55" s="114" t="str">
        <f>IFERROR(INDEX(Расходка[Наименование расходного материала],MATCH(Расходка[[#This Row],[№]],Поиск_расходки[Индекс2],0)),"")</f>
        <v/>
      </c>
      <c r="T55" s="114" t="str">
        <f>IFERROR(INDEX(Расходка[Наименование расходного материала],MATCH(Расходка[[#This Row],[№]],Поиск_расходки[Индекс3],0)),"")</f>
        <v>Shunmei 0,7</v>
      </c>
      <c r="U55" s="114" t="str">
        <f>IFERROR(INDEX(Расходка[Наименование расходного материала],MATCH(Расходка[[#This Row],[№]],Поиск_расходки[Индекс4],0)),"")</f>
        <v>Shunmei 0,7</v>
      </c>
      <c r="V55" s="114" t="str">
        <f>IFERROR(INDEX(Расходка[Наименование расходного материала],MATCH(Расходка[[#This Row],[№]],Поиск_расходки[Индекс5],0)),"")</f>
        <v>Shunmei 0,7</v>
      </c>
      <c r="W55" s="114" t="str">
        <f>IFERROR(INDEX(Расходка[Наименование расходного материала],MATCH(Расходка[[#This Row],[№]],Поиск_расходки[Индекс6],0)),"")</f>
        <v>Shunmei 0,7</v>
      </c>
      <c r="X55" s="114" t="str">
        <f>IFERROR(INDEX(Расходка[Наименование расходного материала],MATCH(Расходка[[#This Row],[№]],Поиск_расходки[Индекс7],0)),"")</f>
        <v>Shunmei 0,7</v>
      </c>
      <c r="Y55" s="114" t="str">
        <f>IFERROR(INDEX(Расходка[Наименование расходного материала],MATCH(Расходка[[#This Row],[№]],Поиск_расходки[Индекс8],0)),"")</f>
        <v>Shunmei 0,7</v>
      </c>
      <c r="Z55" s="114" t="str">
        <f>IFERROR(INDEX(Расходка[Наименование расходного материала],MATCH(Расходка[[#This Row],[№]],Поиск_расходки[Индекс9],0)),"")</f>
        <v>Shunmei 0,7</v>
      </c>
      <c r="AA55" s="114" t="str">
        <f>IFERROR(INDEX(Расходка[Наименование расходного материала],MATCH(Расходка[[#This Row],[№]],Поиск_расходки[Индекс10],0)),"")</f>
        <v>Shunmei 0,7</v>
      </c>
      <c r="AB55" s="114" t="str">
        <f>IFERROR(INDEX(Расходка[Наименование расходного материала],MATCH(Расходка[[#This Row],[№]],Поиск_расходки[Индекс11],0)),"")</f>
        <v>Shunmei 0,7</v>
      </c>
      <c r="AC55" s="114" t="str">
        <f>IFERROR(INDEX(Расходка[Наименование расходного материала],MATCH(Расходка[[#This Row],[№]],Поиск_расходки[Индекс12],0)),"")</f>
        <v>Shunmei 0,7</v>
      </c>
      <c r="AD55" s="114" t="str">
        <f>IFERROR(INDEX(Расходка[Наименование расходного материала],MATCH(Расходка[[#This Row],[№]],Поиск_расходки[Индекс13],0)),"")</f>
        <v>Shunmei 0,7</v>
      </c>
      <c r="AF55" s="4" t="s">
        <v>6</v>
      </c>
      <c r="AG55" s="4" t="s">
        <v>447</v>
      </c>
    </row>
    <row r="56" spans="1:33">
      <c r="A56">
        <f>ROW(Расходка[[#This Row],[Тип расходного материала ]])-1</f>
        <v>55</v>
      </c>
      <c r="B56" t="s">
        <v>3</v>
      </c>
      <c r="C56" t="s">
        <v>519</v>
      </c>
      <c r="E56" s="115">
        <f>IF(ISNUMBER(SEARCH('Карта учёта'!$B$13,Расходка[[#This Row],[Наименование расходного материала]])),MAX($E$1:E55)+1,0)</f>
        <v>0</v>
      </c>
      <c r="F56" s="115">
        <f>IF(ISNUMBER(SEARCH('Карта учёта'!$B$14,Расходка[[#This Row],[Наименование расходного материала]])),MAX($F$1:F55)+1,0)</f>
        <v>0</v>
      </c>
      <c r="G56" s="115">
        <f>IF(ISNUMBER(SEARCH('Карта учёта'!$B$15,Расходка[[#This Row],[Наименование расходного материала]])),MAX($G$1:G55)+1,0)</f>
        <v>55</v>
      </c>
      <c r="H56" s="115">
        <f>IF(ISNUMBER(SEARCH('Карта учёта'!$B$16,Расходка[[#This Row],[Наименование расходного материала]])),MAX($H$1:H55)+1,0)</f>
        <v>55</v>
      </c>
      <c r="I56" s="115">
        <f>IF(ISNUMBER(SEARCH('Карта учёта'!$B$17,Расходка[[#This Row],[Наименование расходного материала]])),MAX($I$1:I55)+1,0)</f>
        <v>55</v>
      </c>
      <c r="J56" s="115">
        <f>IF(ISNUMBER(SEARCH('Карта учёта'!$B$18,Расходка[[#This Row],[Наименование расходного материала]])),MAX($J$1:J55)+1,0)</f>
        <v>55</v>
      </c>
      <c r="K56" s="115">
        <f>IF(ISNUMBER(SEARCH('Карта учёта'!$B$19,Расходка[[#This Row],[Наименование расходного материала]])),MAX($K$1:K55)+1,0)</f>
        <v>55</v>
      </c>
      <c r="L56" s="115">
        <f>IF(ISNUMBER(SEARCH('Карта учёта'!$B$20,Расходка[[#This Row],[Наименование расходного материала]])),MAX($L$1:L55)+1,0)</f>
        <v>55</v>
      </c>
      <c r="M56" s="115">
        <f>IF(ISNUMBER(SEARCH('Карта учёта'!$B$21,Расходка[[#This Row],[Наименование расходного материала]])),MAX($M$1:M55)+1,0)</f>
        <v>55</v>
      </c>
      <c r="N56" s="115">
        <f>IF(ISNUMBER(SEARCH('Карта учёта'!$B$22,Расходка[[#This Row],[Наименование расходного материала]])),MAX($N$1:N55)+1,0)</f>
        <v>55</v>
      </c>
      <c r="O56" s="115">
        <f>IF(ISNUMBER(SEARCH('Карта учёта'!$B$23,Расходка[[#This Row],[Наименование расходного материала]])),MAX($O$1:O55)+1,0)</f>
        <v>55</v>
      </c>
      <c r="P56" s="115">
        <f>IF(ISNUMBER(SEARCH('Карта учёта'!$B$24,Расходка[[#This Row],[Наименование расходного материала]])),MAX($P$1:P55)+1,0)</f>
        <v>55</v>
      </c>
      <c r="Q56" s="115">
        <f>IF(ISNUMBER(SEARCH('Карта учёта'!$B$25,Расходка[[#This Row],[Наименование расходного материала]])),MAX($Q$1:Q55)+1,0)</f>
        <v>55</v>
      </c>
      <c r="R56" s="114" t="str">
        <f>IFERROR(INDEX(Расходка[Наименование расходного материала],MATCH(Расходка[[#This Row],[№]],Поиск_расходки[Индекс1],0)),"")</f>
        <v/>
      </c>
      <c r="S56" s="114" t="str">
        <f>IFERROR(INDEX(Расходка[Наименование расходного материала],MATCH(Расходка[[#This Row],[№]],Поиск_расходки[Индекс2],0)),"")</f>
        <v/>
      </c>
      <c r="T56" s="114" t="str">
        <f>IFERROR(INDEX(Расходка[Наименование расходного материала],MATCH(Расходка[[#This Row],[№]],Поиск_расходки[Индекс3],0)),"")</f>
        <v>Pilot 150, 190 cm</v>
      </c>
      <c r="U56" s="114" t="str">
        <f>IFERROR(INDEX(Расходка[Наименование расходного материала],MATCH(Расходка[[#This Row],[№]],Поиск_расходки[Индекс4],0)),"")</f>
        <v>Pilot 150, 190 cm</v>
      </c>
      <c r="V56" s="114" t="str">
        <f>IFERROR(INDEX(Расходка[Наименование расходного материала],MATCH(Расходка[[#This Row],[№]],Поиск_расходки[Индекс5],0)),"")</f>
        <v>Pilot 150, 190 cm</v>
      </c>
      <c r="W56" s="114" t="str">
        <f>IFERROR(INDEX(Расходка[Наименование расходного материала],MATCH(Расходка[[#This Row],[№]],Поиск_расходки[Индекс6],0)),"")</f>
        <v>Pilot 150, 190 cm</v>
      </c>
      <c r="X56" s="114" t="str">
        <f>IFERROR(INDEX(Расходка[Наименование расходного материала],MATCH(Расходка[[#This Row],[№]],Поиск_расходки[Индекс7],0)),"")</f>
        <v>Pilot 150, 190 cm</v>
      </c>
      <c r="Y56" s="114" t="str">
        <f>IFERROR(INDEX(Расходка[Наименование расходного материала],MATCH(Расходка[[#This Row],[№]],Поиск_расходки[Индекс8],0)),"")</f>
        <v>Pilot 150, 190 cm</v>
      </c>
      <c r="Z56" s="114" t="str">
        <f>IFERROR(INDEX(Расходка[Наименование расходного материала],MATCH(Расходка[[#This Row],[№]],Поиск_расходки[Индекс9],0)),"")</f>
        <v>Pilot 150, 190 cm</v>
      </c>
      <c r="AA56" s="114" t="str">
        <f>IFERROR(INDEX(Расходка[Наименование расходного материала],MATCH(Расходка[[#This Row],[№]],Поиск_расходки[Индекс10],0)),"")</f>
        <v>Pilot 150, 190 cm</v>
      </c>
      <c r="AB56" s="114" t="str">
        <f>IFERROR(INDEX(Расходка[Наименование расходного материала],MATCH(Расходка[[#This Row],[№]],Поиск_расходки[Индекс11],0)),"")</f>
        <v>Pilot 150, 190 cm</v>
      </c>
      <c r="AC56" s="114" t="str">
        <f>IFERROR(INDEX(Расходка[Наименование расходного материала],MATCH(Расходка[[#This Row],[№]],Поиск_расходки[Индекс12],0)),"")</f>
        <v>Pilot 150, 190 cm</v>
      </c>
      <c r="AD56" s="114" t="str">
        <f>IFERROR(INDEX(Расходка[Наименование расходного материала],MATCH(Расходка[[#This Row],[№]],Поиск_расходки[Индекс13],0)),"")</f>
        <v>Pilot 150, 190 cm</v>
      </c>
      <c r="AF56" s="4" t="s">
        <v>6</v>
      </c>
      <c r="AG56" s="4" t="s">
        <v>448</v>
      </c>
    </row>
    <row r="57" spans="1:33">
      <c r="A57">
        <f>ROW(Расходка[[#This Row],[Тип расходного материала ]])-1</f>
        <v>56</v>
      </c>
      <c r="B57" t="s">
        <v>3</v>
      </c>
      <c r="C57" t="s">
        <v>520</v>
      </c>
      <c r="E57" s="115">
        <f>IF(ISNUMBER(SEARCH('Карта учёта'!$B$13,Расходка[[#This Row],[Наименование расходного материала]])),MAX($E$1:E56)+1,0)</f>
        <v>0</v>
      </c>
      <c r="F57" s="115">
        <f>IF(ISNUMBER(SEARCH('Карта учёта'!$B$14,Расходка[[#This Row],[Наименование расходного материала]])),MAX($F$1:F56)+1,0)</f>
        <v>0</v>
      </c>
      <c r="G57" s="115">
        <f>IF(ISNUMBER(SEARCH('Карта учёта'!$B$15,Расходка[[#This Row],[Наименование расходного материала]])),MAX($G$1:G56)+1,0)</f>
        <v>56</v>
      </c>
      <c r="H57" s="115">
        <f>IF(ISNUMBER(SEARCH('Карта учёта'!$B$16,Расходка[[#This Row],[Наименование расходного материала]])),MAX($H$1:H56)+1,0)</f>
        <v>56</v>
      </c>
      <c r="I57" s="115">
        <f>IF(ISNUMBER(SEARCH('Карта учёта'!$B$17,Расходка[[#This Row],[Наименование расходного материала]])),MAX($I$1:I56)+1,0)</f>
        <v>56</v>
      </c>
      <c r="J57" s="115">
        <f>IF(ISNUMBER(SEARCH('Карта учёта'!$B$18,Расходка[[#This Row],[Наименование расходного материала]])),MAX($J$1:J56)+1,0)</f>
        <v>56</v>
      </c>
      <c r="K57" s="115">
        <f>IF(ISNUMBER(SEARCH('Карта учёта'!$B$19,Расходка[[#This Row],[Наименование расходного материала]])),MAX($K$1:K56)+1,0)</f>
        <v>56</v>
      </c>
      <c r="L57" s="115">
        <f>IF(ISNUMBER(SEARCH('Карта учёта'!$B$20,Расходка[[#This Row],[Наименование расходного материала]])),MAX($L$1:L56)+1,0)</f>
        <v>56</v>
      </c>
      <c r="M57" s="115">
        <f>IF(ISNUMBER(SEARCH('Карта учёта'!$B$21,Расходка[[#This Row],[Наименование расходного материала]])),MAX($M$1:M56)+1,0)</f>
        <v>56</v>
      </c>
      <c r="N57" s="115">
        <f>IF(ISNUMBER(SEARCH('Карта учёта'!$B$22,Расходка[[#This Row],[Наименование расходного материала]])),MAX($N$1:N56)+1,0)</f>
        <v>56</v>
      </c>
      <c r="O57" s="115">
        <f>IF(ISNUMBER(SEARCH('Карта учёта'!$B$23,Расходка[[#This Row],[Наименование расходного материала]])),MAX($O$1:O56)+1,0)</f>
        <v>56</v>
      </c>
      <c r="P57" s="115">
        <f>IF(ISNUMBER(SEARCH('Карта учёта'!$B$24,Расходка[[#This Row],[Наименование расходного материала]])),MAX($P$1:P56)+1,0)</f>
        <v>56</v>
      </c>
      <c r="Q57" s="115">
        <f>IF(ISNUMBER(SEARCH('Карта учёта'!$B$25,Расходка[[#This Row],[Наименование расходного материала]])),MAX($Q$1:Q56)+1,0)</f>
        <v>56</v>
      </c>
      <c r="R57" s="114" t="str">
        <f>IFERROR(INDEX(Расходка[Наименование расходного материала],MATCH(Расходка[[#This Row],[№]],Поиск_расходки[Индекс1],0)),"")</f>
        <v/>
      </c>
      <c r="S57" s="114" t="str">
        <f>IFERROR(INDEX(Расходка[Наименование расходного материала],MATCH(Расходка[[#This Row],[№]],Поиск_расходки[Индекс2],0)),"")</f>
        <v/>
      </c>
      <c r="T57" s="114" t="str">
        <f>IFERROR(INDEX(Расходка[Наименование расходного материала],MATCH(Расходка[[#This Row],[№]],Поиск_расходки[Индекс3],0)),"")</f>
        <v>Pilot 150, 300 cm</v>
      </c>
      <c r="U57" s="114" t="str">
        <f>IFERROR(INDEX(Расходка[Наименование расходного материала],MATCH(Расходка[[#This Row],[№]],Поиск_расходки[Индекс4],0)),"")</f>
        <v>Pilot 150, 300 cm</v>
      </c>
      <c r="V57" s="114" t="str">
        <f>IFERROR(INDEX(Расходка[Наименование расходного материала],MATCH(Расходка[[#This Row],[№]],Поиск_расходки[Индекс5],0)),"")</f>
        <v>Pilot 150, 300 cm</v>
      </c>
      <c r="W57" s="114" t="str">
        <f>IFERROR(INDEX(Расходка[Наименование расходного материала],MATCH(Расходка[[#This Row],[№]],Поиск_расходки[Индекс6],0)),"")</f>
        <v>Pilot 150, 300 cm</v>
      </c>
      <c r="X57" s="114" t="str">
        <f>IFERROR(INDEX(Расходка[Наименование расходного материала],MATCH(Расходка[[#This Row],[№]],Поиск_расходки[Индекс7],0)),"")</f>
        <v>Pilot 150, 300 cm</v>
      </c>
      <c r="Y57" s="114" t="str">
        <f>IFERROR(INDEX(Расходка[Наименование расходного материала],MATCH(Расходка[[#This Row],[№]],Поиск_расходки[Индекс8],0)),"")</f>
        <v>Pilot 150, 300 cm</v>
      </c>
      <c r="Z57" s="114" t="str">
        <f>IFERROR(INDEX(Расходка[Наименование расходного материала],MATCH(Расходка[[#This Row],[№]],Поиск_расходки[Индекс9],0)),"")</f>
        <v>Pilot 150, 300 cm</v>
      </c>
      <c r="AA57" s="114" t="str">
        <f>IFERROR(INDEX(Расходка[Наименование расходного материала],MATCH(Расходка[[#This Row],[№]],Поиск_расходки[Индекс10],0)),"")</f>
        <v>Pilot 150, 300 cm</v>
      </c>
      <c r="AB57" s="114" t="str">
        <f>IFERROR(INDEX(Расходка[Наименование расходного материала],MATCH(Расходка[[#This Row],[№]],Поиск_расходки[Индекс11],0)),"")</f>
        <v>Pilot 150, 300 cm</v>
      </c>
      <c r="AC57" s="114" t="str">
        <f>IFERROR(INDEX(Расходка[Наименование расходного материала],MATCH(Расходка[[#This Row],[№]],Поиск_расходки[Индекс12],0)),"")</f>
        <v>Pilot 150, 300 cm</v>
      </c>
      <c r="AD57" s="114" t="str">
        <f>IFERROR(INDEX(Расходка[Наименование расходного материала],MATCH(Расходка[[#This Row],[№]],Поиск_расходки[Индекс13],0)),"")</f>
        <v>Pilot 150, 300 cm</v>
      </c>
      <c r="AF57" s="4" t="s">
        <v>6</v>
      </c>
      <c r="AG57" s="4" t="s">
        <v>449</v>
      </c>
    </row>
    <row r="58" spans="1:33">
      <c r="A58">
        <f>ROW(Расходка[[#This Row],[Тип расходного материала ]])-1</f>
        <v>57</v>
      </c>
      <c r="B58" t="s">
        <v>6</v>
      </c>
      <c r="C58" s="1" t="s">
        <v>278</v>
      </c>
      <c r="E58" s="115">
        <f>IF(ISNUMBER(SEARCH('Карта учёта'!$B$13,Расходка[[#This Row],[Наименование расходного материала]])),MAX($E$1:E57)+1,0)</f>
        <v>0</v>
      </c>
      <c r="F58" s="115">
        <f>IF(ISNUMBER(SEARCH('Карта учёта'!$B$14,Расходка[[#This Row],[Наименование расходного материала]])),MAX($F$1:F57)+1,0)</f>
        <v>0</v>
      </c>
      <c r="G58" s="115">
        <f>IF(ISNUMBER(SEARCH('Карта учёта'!$B$15,Расходка[[#This Row],[Наименование расходного материала]])),MAX($G$1:G57)+1,0)</f>
        <v>57</v>
      </c>
      <c r="H58" s="115">
        <f>IF(ISNUMBER(SEARCH('Карта учёта'!$B$16,Расходка[[#This Row],[Наименование расходного материала]])),MAX($H$1:H57)+1,0)</f>
        <v>57</v>
      </c>
      <c r="I58" s="115">
        <f>IF(ISNUMBER(SEARCH('Карта учёта'!$B$17,Расходка[[#This Row],[Наименование расходного материала]])),MAX($I$1:I57)+1,0)</f>
        <v>57</v>
      </c>
      <c r="J58" s="115">
        <f>IF(ISNUMBER(SEARCH('Карта учёта'!$B$18,Расходка[[#This Row],[Наименование расходного материала]])),MAX($J$1:J57)+1,0)</f>
        <v>57</v>
      </c>
      <c r="K58" s="115">
        <f>IF(ISNUMBER(SEARCH('Карта учёта'!$B$19,Расходка[[#This Row],[Наименование расходного материала]])),MAX($K$1:K57)+1,0)</f>
        <v>57</v>
      </c>
      <c r="L58" s="115">
        <f>IF(ISNUMBER(SEARCH('Карта учёта'!$B$20,Расходка[[#This Row],[Наименование расходного материала]])),MAX($L$1:L57)+1,0)</f>
        <v>57</v>
      </c>
      <c r="M58" s="115">
        <f>IF(ISNUMBER(SEARCH('Карта учёта'!$B$21,Расходка[[#This Row],[Наименование расходного материала]])),MAX($M$1:M57)+1,0)</f>
        <v>57</v>
      </c>
      <c r="N58" s="115">
        <f>IF(ISNUMBER(SEARCH('Карта учёта'!$B$22,Расходка[[#This Row],[Наименование расходного материала]])),MAX($N$1:N57)+1,0)</f>
        <v>57</v>
      </c>
      <c r="O58" s="115">
        <f>IF(ISNUMBER(SEARCH('Карта учёта'!$B$23,Расходка[[#This Row],[Наименование расходного материала]])),MAX($O$1:O57)+1,0)</f>
        <v>57</v>
      </c>
      <c r="P58" s="115">
        <f>IF(ISNUMBER(SEARCH('Карта учёта'!$B$24,Расходка[[#This Row],[Наименование расходного материала]])),MAX($P$1:P57)+1,0)</f>
        <v>57</v>
      </c>
      <c r="Q58" s="115">
        <f>IF(ISNUMBER(SEARCH('Карта учёта'!$B$25,Расходка[[#This Row],[Наименование расходного материала]])),MAX($Q$1:Q57)+1,0)</f>
        <v>57</v>
      </c>
      <c r="R58" s="114" t="str">
        <f>IFERROR(INDEX(Расходка[Наименование расходного материала],MATCH(Расходка[[#This Row],[№]],Поиск_расходки[Индекс1],0)),"")</f>
        <v/>
      </c>
      <c r="S58" s="114" t="str">
        <f>IFERROR(INDEX(Расходка[Наименование расходного материала],MATCH(Расходка[[#This Row],[№]],Поиск_расходки[Индекс2],0)),"")</f>
        <v/>
      </c>
      <c r="T58" s="114" t="str">
        <f>IFERROR(INDEX(Расходка[Наименование расходного материала],MATCH(Расходка[[#This Row],[№]],Поиск_расходки[Индекс3],0)),"")</f>
        <v>BMS, Integtity</v>
      </c>
      <c r="U58" s="114" t="str">
        <f>IFERROR(INDEX(Расходка[Наименование расходного материала],MATCH(Расходка[[#This Row],[№]],Поиск_расходки[Индекс4],0)),"")</f>
        <v>BMS, Integtity</v>
      </c>
      <c r="V58" s="114" t="str">
        <f>IFERROR(INDEX(Расходка[Наименование расходного материала],MATCH(Расходка[[#This Row],[№]],Поиск_расходки[Индекс5],0)),"")</f>
        <v>BMS, Integtity</v>
      </c>
      <c r="W58" s="114" t="str">
        <f>IFERROR(INDEX(Расходка[Наименование расходного материала],MATCH(Расходка[[#This Row],[№]],Поиск_расходки[Индекс6],0)),"")</f>
        <v>BMS, Integtity</v>
      </c>
      <c r="X58" s="114" t="str">
        <f>IFERROR(INDEX(Расходка[Наименование расходного материала],MATCH(Расходка[[#This Row],[№]],Поиск_расходки[Индекс7],0)),"")</f>
        <v>BMS, Integtity</v>
      </c>
      <c r="Y58" s="114" t="str">
        <f>IFERROR(INDEX(Расходка[Наименование расходного материала],MATCH(Расходка[[#This Row],[№]],Поиск_расходки[Индекс8],0)),"")</f>
        <v>BMS, Integtity</v>
      </c>
      <c r="Z58" s="114" t="str">
        <f>IFERROR(INDEX(Расходка[Наименование расходного материала],MATCH(Расходка[[#This Row],[№]],Поиск_расходки[Индекс9],0)),"")</f>
        <v>BMS, Integtity</v>
      </c>
      <c r="AA58" s="114" t="str">
        <f>IFERROR(INDEX(Расходка[Наименование расходного материала],MATCH(Расходка[[#This Row],[№]],Поиск_расходки[Индекс10],0)),"")</f>
        <v>BMS, Integtity</v>
      </c>
      <c r="AB58" s="114" t="str">
        <f>IFERROR(INDEX(Расходка[Наименование расходного материала],MATCH(Расходка[[#This Row],[№]],Поиск_расходки[Индекс11],0)),"")</f>
        <v>BMS, Integtity</v>
      </c>
      <c r="AC58" s="114" t="str">
        <f>IFERROR(INDEX(Расходка[Наименование расходного материала],MATCH(Расходка[[#This Row],[№]],Поиск_расходки[Индекс12],0)),"")</f>
        <v>BMS, Integtity</v>
      </c>
      <c r="AD58" s="114" t="str">
        <f>IFERROR(INDEX(Расходка[Наименование расходного материала],MATCH(Расходка[[#This Row],[№]],Поиск_расходки[Индекс13],0)),"")</f>
        <v>BMS, Integtity</v>
      </c>
      <c r="AF58" s="4" t="s">
        <v>6</v>
      </c>
      <c r="AG58" s="4" t="s">
        <v>450</v>
      </c>
    </row>
    <row r="59" spans="1:33">
      <c r="A59">
        <f>ROW(Расходка[[#This Row],[Тип расходного материала ]])-1</f>
        <v>58</v>
      </c>
      <c r="B59" t="s">
        <v>6</v>
      </c>
      <c r="C59" s="156" t="s">
        <v>344</v>
      </c>
      <c r="E59" s="115">
        <f>IF(ISNUMBER(SEARCH('Карта учёта'!$B$13,Расходка[[#This Row],[Наименование расходного материала]])),MAX($E$1:E58)+1,0)</f>
        <v>0</v>
      </c>
      <c r="F59" s="115">
        <f>IF(ISNUMBER(SEARCH('Карта учёта'!$B$14,Расходка[[#This Row],[Наименование расходного материала]])),MAX($F$1:F58)+1,0)</f>
        <v>0</v>
      </c>
      <c r="G59" s="115">
        <f>IF(ISNUMBER(SEARCH('Карта учёта'!$B$15,Расходка[[#This Row],[Наименование расходного материала]])),MAX($G$1:G58)+1,0)</f>
        <v>58</v>
      </c>
      <c r="H59" s="115">
        <f>IF(ISNUMBER(SEARCH('Карта учёта'!$B$16,Расходка[[#This Row],[Наименование расходного материала]])),MAX($H$1:H58)+1,0)</f>
        <v>58</v>
      </c>
      <c r="I59" s="115">
        <f>IF(ISNUMBER(SEARCH('Карта учёта'!$B$17,Расходка[[#This Row],[Наименование расходного материала]])),MAX($I$1:I58)+1,0)</f>
        <v>58</v>
      </c>
      <c r="J59" s="115">
        <f>IF(ISNUMBER(SEARCH('Карта учёта'!$B$18,Расходка[[#This Row],[Наименование расходного материала]])),MAX($J$1:J58)+1,0)</f>
        <v>58</v>
      </c>
      <c r="K59" s="115">
        <f>IF(ISNUMBER(SEARCH('Карта учёта'!$B$19,Расходка[[#This Row],[Наименование расходного материала]])),MAX($K$1:K58)+1,0)</f>
        <v>58</v>
      </c>
      <c r="L59" s="115">
        <f>IF(ISNUMBER(SEARCH('Карта учёта'!$B$20,Расходка[[#This Row],[Наименование расходного материала]])),MAX($L$1:L58)+1,0)</f>
        <v>58</v>
      </c>
      <c r="M59" s="115">
        <f>IF(ISNUMBER(SEARCH('Карта учёта'!$B$21,Расходка[[#This Row],[Наименование расходного материала]])),MAX($M$1:M58)+1,0)</f>
        <v>58</v>
      </c>
      <c r="N59" s="115">
        <f>IF(ISNUMBER(SEARCH('Карта учёта'!$B$22,Расходка[[#This Row],[Наименование расходного материала]])),MAX($N$1:N58)+1,0)</f>
        <v>58</v>
      </c>
      <c r="O59" s="115">
        <f>IF(ISNUMBER(SEARCH('Карта учёта'!$B$23,Расходка[[#This Row],[Наименование расходного материала]])),MAX($O$1:O58)+1,0)</f>
        <v>58</v>
      </c>
      <c r="P59" s="115">
        <f>IF(ISNUMBER(SEARCH('Карта учёта'!$B$24,Расходка[[#This Row],[Наименование расходного материала]])),MAX($P$1:P58)+1,0)</f>
        <v>58</v>
      </c>
      <c r="Q59" s="115">
        <f>IF(ISNUMBER(SEARCH('Карта учёта'!$B$25,Расходка[[#This Row],[Наименование расходного материала]])),MAX($Q$1:Q58)+1,0)</f>
        <v>58</v>
      </c>
      <c r="R59" s="114" t="str">
        <f>IFERROR(INDEX(Расходка[Наименование расходного материала],MATCH(Расходка[[#This Row],[№]],Поиск_расходки[Индекс1],0)),"")</f>
        <v/>
      </c>
      <c r="S59" s="114" t="str">
        <f>IFERROR(INDEX(Расходка[Наименование расходного материала],MATCH(Расходка[[#This Row],[№]],Поиск_расходки[Индекс2],0)),"")</f>
        <v/>
      </c>
      <c r="T59" s="114" t="str">
        <f>IFERROR(INDEX(Расходка[Наименование расходного материала],MATCH(Расходка[[#This Row],[№]],Поиск_расходки[Индекс3],0)),"")</f>
        <v>DES, Calipso</v>
      </c>
      <c r="U59" s="114" t="str">
        <f>IFERROR(INDEX(Расходка[Наименование расходного материала],MATCH(Расходка[[#This Row],[№]],Поиск_расходки[Индекс4],0)),"")</f>
        <v>DES, Calipso</v>
      </c>
      <c r="V59" s="114" t="str">
        <f>IFERROR(INDEX(Расходка[Наименование расходного материала],MATCH(Расходка[[#This Row],[№]],Поиск_расходки[Индекс5],0)),"")</f>
        <v>DES, Calipso</v>
      </c>
      <c r="W59" s="114" t="str">
        <f>IFERROR(INDEX(Расходка[Наименование расходного материала],MATCH(Расходка[[#This Row],[№]],Поиск_расходки[Индекс6],0)),"")</f>
        <v>DES, Calipso</v>
      </c>
      <c r="X59" s="114" t="str">
        <f>IFERROR(INDEX(Расходка[Наименование расходного материала],MATCH(Расходка[[#This Row],[№]],Поиск_расходки[Индекс7],0)),"")</f>
        <v>DES, Calipso</v>
      </c>
      <c r="Y59" s="114" t="str">
        <f>IFERROR(INDEX(Расходка[Наименование расходного материала],MATCH(Расходка[[#This Row],[№]],Поиск_расходки[Индекс8],0)),"")</f>
        <v>DES, Calipso</v>
      </c>
      <c r="Z59" s="114" t="str">
        <f>IFERROR(INDEX(Расходка[Наименование расходного материала],MATCH(Расходка[[#This Row],[№]],Поиск_расходки[Индекс9],0)),"")</f>
        <v>DES, Calipso</v>
      </c>
      <c r="AA59" s="114" t="str">
        <f>IFERROR(INDEX(Расходка[Наименование расходного материала],MATCH(Расходка[[#This Row],[№]],Поиск_расходки[Индекс10],0)),"")</f>
        <v>DES, Calipso</v>
      </c>
      <c r="AB59" s="114" t="str">
        <f>IFERROR(INDEX(Расходка[Наименование расходного материала],MATCH(Расходка[[#This Row],[№]],Поиск_расходки[Индекс11],0)),"")</f>
        <v>DES, Calipso</v>
      </c>
      <c r="AC59" s="114" t="str">
        <f>IFERROR(INDEX(Расходка[Наименование расходного материала],MATCH(Расходка[[#This Row],[№]],Поиск_расходки[Индекс12],0)),"")</f>
        <v>DES, Calipso</v>
      </c>
      <c r="AD59" s="114" t="str">
        <f>IFERROR(INDEX(Расходка[Наименование расходного материала],MATCH(Расходка[[#This Row],[№]],Поиск_расходки[Индекс13],0)),"")</f>
        <v>DES, Calipso</v>
      </c>
      <c r="AF59" s="4" t="s">
        <v>6</v>
      </c>
      <c r="AG59" s="4" t="s">
        <v>451</v>
      </c>
    </row>
    <row r="60" spans="1:33">
      <c r="A60">
        <f>ROW(Расходка[[#This Row],[Тип расходного материала ]])-1</f>
        <v>59</v>
      </c>
      <c r="B60" t="s">
        <v>6</v>
      </c>
      <c r="C60" s="214" t="s">
        <v>524</v>
      </c>
      <c r="E60" s="115">
        <f>IF(ISNUMBER(SEARCH('Карта учёта'!$B$13,Расходка[[#This Row],[Наименование расходного материала]])),MAX($E$1:E59)+1,0)</f>
        <v>0</v>
      </c>
      <c r="F60" s="115">
        <f>IF(ISNUMBER(SEARCH('Карта учёта'!$B$14,Расходка[[#This Row],[Наименование расходного материала]])),MAX($F$1:F59)+1,0)</f>
        <v>0</v>
      </c>
      <c r="G60" s="115">
        <f>IF(ISNUMBER(SEARCH('Карта учёта'!$B$15,Расходка[[#This Row],[Наименование расходного материала]])),MAX($G$1:G59)+1,0)</f>
        <v>59</v>
      </c>
      <c r="H60" s="115">
        <f>IF(ISNUMBER(SEARCH('Карта учёта'!$B$16,Расходка[[#This Row],[Наименование расходного материала]])),MAX($H$1:H59)+1,0)</f>
        <v>59</v>
      </c>
      <c r="I60" s="115">
        <f>IF(ISNUMBER(SEARCH('Карта учёта'!$B$17,Расходка[[#This Row],[Наименование расходного материала]])),MAX($I$1:I59)+1,0)</f>
        <v>59</v>
      </c>
      <c r="J60" s="115">
        <f>IF(ISNUMBER(SEARCH('Карта учёта'!$B$18,Расходка[[#This Row],[Наименование расходного материала]])),MAX($J$1:J59)+1,0)</f>
        <v>59</v>
      </c>
      <c r="K60" s="115">
        <f>IF(ISNUMBER(SEARCH('Карта учёта'!$B$19,Расходка[[#This Row],[Наименование расходного материала]])),MAX($K$1:K59)+1,0)</f>
        <v>59</v>
      </c>
      <c r="L60" s="115">
        <f>IF(ISNUMBER(SEARCH('Карта учёта'!$B$20,Расходка[[#This Row],[Наименование расходного материала]])),MAX($L$1:L59)+1,0)</f>
        <v>59</v>
      </c>
      <c r="M60" s="115">
        <f>IF(ISNUMBER(SEARCH('Карта учёта'!$B$21,Расходка[[#This Row],[Наименование расходного материала]])),MAX($M$1:M59)+1,0)</f>
        <v>59</v>
      </c>
      <c r="N60" s="115">
        <f>IF(ISNUMBER(SEARCH('Карта учёта'!$B$22,Расходка[[#This Row],[Наименование расходного материала]])),MAX($N$1:N59)+1,0)</f>
        <v>59</v>
      </c>
      <c r="O60" s="115">
        <f>IF(ISNUMBER(SEARCH('Карта учёта'!$B$23,Расходка[[#This Row],[Наименование расходного материала]])),MAX($O$1:O59)+1,0)</f>
        <v>59</v>
      </c>
      <c r="P60" s="115">
        <f>IF(ISNUMBER(SEARCH('Карта учёта'!$B$24,Расходка[[#This Row],[Наименование расходного материала]])),MAX($P$1:P59)+1,0)</f>
        <v>59</v>
      </c>
      <c r="Q60" s="115">
        <f>IF(ISNUMBER(SEARCH('Карта учёта'!$B$25,Расходка[[#This Row],[Наименование расходного материала]])),MAX($Q$1:Q59)+1,0)</f>
        <v>59</v>
      </c>
      <c r="R60" s="114" t="str">
        <f>IFERROR(INDEX(Расходка[Наименование расходного материала],MATCH(Расходка[[#This Row],[№]],Поиск_расходки[Индекс1],0)),"")</f>
        <v/>
      </c>
      <c r="S60" s="114" t="str">
        <f>IFERROR(INDEX(Расходка[Наименование расходного материала],MATCH(Расходка[[#This Row],[№]],Поиск_расходки[Индекс2],0)),"")</f>
        <v/>
      </c>
      <c r="T60" s="114" t="str">
        <f>IFERROR(INDEX(Расходка[Наименование расходного материала],MATCH(Расходка[[#This Row],[№]],Поиск_расходки[Индекс3],0)),"")</f>
        <v>DES, Metafor</v>
      </c>
      <c r="U60" s="114" t="str">
        <f>IFERROR(INDEX(Расходка[Наименование расходного материала],MATCH(Расходка[[#This Row],[№]],Поиск_расходки[Индекс4],0)),"")</f>
        <v>DES, Metafor</v>
      </c>
      <c r="V60" s="114" t="str">
        <f>IFERROR(INDEX(Расходка[Наименование расходного материала],MATCH(Расходка[[#This Row],[№]],Поиск_расходки[Индекс5],0)),"")</f>
        <v>DES, Metafor</v>
      </c>
      <c r="W60" s="114" t="str">
        <f>IFERROR(INDEX(Расходка[Наименование расходного материала],MATCH(Расходка[[#This Row],[№]],Поиск_расходки[Индекс6],0)),"")</f>
        <v>DES, Metafor</v>
      </c>
      <c r="X60" s="114" t="str">
        <f>IFERROR(INDEX(Расходка[Наименование расходного материала],MATCH(Расходка[[#This Row],[№]],Поиск_расходки[Индекс7],0)),"")</f>
        <v>DES, Metafor</v>
      </c>
      <c r="Y60" s="114" t="str">
        <f>IFERROR(INDEX(Расходка[Наименование расходного материала],MATCH(Расходка[[#This Row],[№]],Поиск_расходки[Индекс8],0)),"")</f>
        <v>DES, Metafor</v>
      </c>
      <c r="Z60" s="114" t="str">
        <f>IFERROR(INDEX(Расходка[Наименование расходного материала],MATCH(Расходка[[#This Row],[№]],Поиск_расходки[Индекс9],0)),"")</f>
        <v>DES, Metafor</v>
      </c>
      <c r="AA60" s="114" t="str">
        <f>IFERROR(INDEX(Расходка[Наименование расходного материала],MATCH(Расходка[[#This Row],[№]],Поиск_расходки[Индекс10],0)),"")</f>
        <v>DES, Metafor</v>
      </c>
      <c r="AB60" s="114" t="str">
        <f>IFERROR(INDEX(Расходка[Наименование расходного материала],MATCH(Расходка[[#This Row],[№]],Поиск_расходки[Индекс11],0)),"")</f>
        <v>DES, Metafor</v>
      </c>
      <c r="AC60" s="114" t="str">
        <f>IFERROR(INDEX(Расходка[Наименование расходного материала],MATCH(Расходка[[#This Row],[№]],Поиск_расходки[Индекс12],0)),"")</f>
        <v>DES, Metafor</v>
      </c>
      <c r="AD60" s="114" t="str">
        <f>IFERROR(INDEX(Расходка[Наименование расходного материала],MATCH(Расходка[[#This Row],[№]],Поиск_расходки[Индекс13],0)),"")</f>
        <v>DES, Metafor</v>
      </c>
      <c r="AF60" s="4" t="s">
        <v>6</v>
      </c>
      <c r="AG60" s="4" t="s">
        <v>452</v>
      </c>
    </row>
    <row r="61" spans="1:33">
      <c r="A61">
        <f>ROW(Расходка[[#This Row],[Тип расходного материала ]])-1</f>
        <v>60</v>
      </c>
      <c r="B61" t="s">
        <v>6</v>
      </c>
      <c r="C61" s="156" t="s">
        <v>343</v>
      </c>
      <c r="E61" s="115">
        <f>IF(ISNUMBER(SEARCH('Карта учёта'!$B$13,Расходка[[#This Row],[Наименование расходного материала]])),MAX($E$1:E60)+1,0)</f>
        <v>0</v>
      </c>
      <c r="F61" s="115">
        <f>IF(ISNUMBER(SEARCH('Карта учёта'!$B$14,Расходка[[#This Row],[Наименование расходного материала]])),MAX($F$1:F60)+1,0)</f>
        <v>0</v>
      </c>
      <c r="G61" s="115">
        <f>IF(ISNUMBER(SEARCH('Карта учёта'!$B$15,Расходка[[#This Row],[Наименование расходного материала]])),MAX($G$1:G60)+1,0)</f>
        <v>60</v>
      </c>
      <c r="H61" s="115">
        <f>IF(ISNUMBER(SEARCH('Карта учёта'!$B$16,Расходка[[#This Row],[Наименование расходного материала]])),MAX($H$1:H60)+1,0)</f>
        <v>60</v>
      </c>
      <c r="I61" s="115">
        <f>IF(ISNUMBER(SEARCH('Карта учёта'!$B$17,Расходка[[#This Row],[Наименование расходного материала]])),MAX($I$1:I60)+1,0)</f>
        <v>60</v>
      </c>
      <c r="J61" s="115">
        <f>IF(ISNUMBER(SEARCH('Карта учёта'!$B$18,Расходка[[#This Row],[Наименование расходного материала]])),MAX($J$1:J60)+1,0)</f>
        <v>60</v>
      </c>
      <c r="K61" s="115">
        <f>IF(ISNUMBER(SEARCH('Карта учёта'!$B$19,Расходка[[#This Row],[Наименование расходного материала]])),MAX($K$1:K60)+1,0)</f>
        <v>60</v>
      </c>
      <c r="L61" s="115">
        <f>IF(ISNUMBER(SEARCH('Карта учёта'!$B$20,Расходка[[#This Row],[Наименование расходного материала]])),MAX($L$1:L60)+1,0)</f>
        <v>60</v>
      </c>
      <c r="M61" s="115">
        <f>IF(ISNUMBER(SEARCH('Карта учёта'!$B$21,Расходка[[#This Row],[Наименование расходного материала]])),MAX($M$1:M60)+1,0)</f>
        <v>60</v>
      </c>
      <c r="N61" s="115">
        <f>IF(ISNUMBER(SEARCH('Карта учёта'!$B$22,Расходка[[#This Row],[Наименование расходного материала]])),MAX($N$1:N60)+1,0)</f>
        <v>60</v>
      </c>
      <c r="O61" s="115">
        <f>IF(ISNUMBER(SEARCH('Карта учёта'!$B$23,Расходка[[#This Row],[Наименование расходного материала]])),MAX($O$1:O60)+1,0)</f>
        <v>60</v>
      </c>
      <c r="P61" s="115">
        <f>IF(ISNUMBER(SEARCH('Карта учёта'!$B$24,Расходка[[#This Row],[Наименование расходного материала]])),MAX($P$1:P60)+1,0)</f>
        <v>60</v>
      </c>
      <c r="Q61" s="115">
        <f>IF(ISNUMBER(SEARCH('Карта учёта'!$B$25,Расходка[[#This Row],[Наименование расходного материала]])),MAX($Q$1:Q60)+1,0)</f>
        <v>60</v>
      </c>
      <c r="R61" s="114" t="str">
        <f>IFERROR(INDEX(Расходка[Наименование расходного материала],MATCH(Расходка[[#This Row],[№]],Поиск_расходки[Индекс1],0)),"")</f>
        <v/>
      </c>
      <c r="S61" s="114" t="str">
        <f>IFERROR(INDEX(Расходка[Наименование расходного материала],MATCH(Расходка[[#This Row],[№]],Поиск_расходки[Индекс2],0)),"")</f>
        <v/>
      </c>
      <c r="T61" s="114" t="str">
        <f>IFERROR(INDEX(Расходка[Наименование расходного материала],MATCH(Расходка[[#This Row],[№]],Поиск_расходки[Индекс3],0)),"")</f>
        <v>DES, NanoMed</v>
      </c>
      <c r="U61" s="114" t="str">
        <f>IFERROR(INDEX(Расходка[Наименование расходного материала],MATCH(Расходка[[#This Row],[№]],Поиск_расходки[Индекс4],0)),"")</f>
        <v>DES, NanoMed</v>
      </c>
      <c r="V61" s="114" t="str">
        <f>IFERROR(INDEX(Расходка[Наименование расходного материала],MATCH(Расходка[[#This Row],[№]],Поиск_расходки[Индекс5],0)),"")</f>
        <v>DES, NanoMed</v>
      </c>
      <c r="W61" s="114" t="str">
        <f>IFERROR(INDEX(Расходка[Наименование расходного материала],MATCH(Расходка[[#This Row],[№]],Поиск_расходки[Индекс6],0)),"")</f>
        <v>DES, NanoMed</v>
      </c>
      <c r="X61" s="114" t="str">
        <f>IFERROR(INDEX(Расходка[Наименование расходного материала],MATCH(Расходка[[#This Row],[№]],Поиск_расходки[Индекс7],0)),"")</f>
        <v>DES, NanoMed</v>
      </c>
      <c r="Y61" s="114" t="str">
        <f>IFERROR(INDEX(Расходка[Наименование расходного материала],MATCH(Расходка[[#This Row],[№]],Поиск_расходки[Индекс8],0)),"")</f>
        <v>DES, NanoMed</v>
      </c>
      <c r="Z61" s="114" t="str">
        <f>IFERROR(INDEX(Расходка[Наименование расходного материала],MATCH(Расходка[[#This Row],[№]],Поиск_расходки[Индекс9],0)),"")</f>
        <v>DES, NanoMed</v>
      </c>
      <c r="AA61" s="114" t="str">
        <f>IFERROR(INDEX(Расходка[Наименование расходного материала],MATCH(Расходка[[#This Row],[№]],Поиск_расходки[Индекс10],0)),"")</f>
        <v>DES, NanoMed</v>
      </c>
      <c r="AB61" s="114" t="str">
        <f>IFERROR(INDEX(Расходка[Наименование расходного материала],MATCH(Расходка[[#This Row],[№]],Поиск_расходки[Индекс11],0)),"")</f>
        <v>DES, NanoMed</v>
      </c>
      <c r="AC61" s="114" t="str">
        <f>IFERROR(INDEX(Расходка[Наименование расходного материала],MATCH(Расходка[[#This Row],[№]],Поиск_расходки[Индекс12],0)),"")</f>
        <v>DES, NanoMed</v>
      </c>
      <c r="AD61" s="114" t="str">
        <f>IFERROR(INDEX(Расходка[Наименование расходного материала],MATCH(Расходка[[#This Row],[№]],Поиск_расходки[Индекс13],0)),"")</f>
        <v>DES, NanoMed</v>
      </c>
      <c r="AF61" s="4" t="s">
        <v>6</v>
      </c>
      <c r="AG61" s="4" t="s">
        <v>413</v>
      </c>
    </row>
    <row r="62" spans="1:33">
      <c r="A62">
        <f>ROW(Расходка[[#This Row],[Тип расходного материала ]])-1</f>
        <v>61</v>
      </c>
      <c r="B62" t="s">
        <v>6</v>
      </c>
      <c r="C62" s="129" t="s">
        <v>322</v>
      </c>
      <c r="E62" s="115">
        <f>IF(ISNUMBER(SEARCH('Карта учёта'!$B$13,Расходка[[#This Row],[Наименование расходного материала]])),MAX($E$1:E61)+1,0)</f>
        <v>0</v>
      </c>
      <c r="F62" s="115">
        <f>IF(ISNUMBER(SEARCH('Карта учёта'!$B$14,Расходка[[#This Row],[Наименование расходного материала]])),MAX($F$1:F61)+1,0)</f>
        <v>0</v>
      </c>
      <c r="G62" s="115">
        <f>IF(ISNUMBER(SEARCH('Карта учёта'!$B$15,Расходка[[#This Row],[Наименование расходного материала]])),MAX($G$1:G61)+1,0)</f>
        <v>61</v>
      </c>
      <c r="H62" s="115">
        <f>IF(ISNUMBER(SEARCH('Карта учёта'!$B$16,Расходка[[#This Row],[Наименование расходного материала]])),MAX($H$1:H61)+1,0)</f>
        <v>61</v>
      </c>
      <c r="I62" s="115">
        <f>IF(ISNUMBER(SEARCH('Карта учёта'!$B$17,Расходка[[#This Row],[Наименование расходного материала]])),MAX($I$1:I61)+1,0)</f>
        <v>61</v>
      </c>
      <c r="J62" s="115">
        <f>IF(ISNUMBER(SEARCH('Карта учёта'!$B$18,Расходка[[#This Row],[Наименование расходного материала]])),MAX($J$1:J61)+1,0)</f>
        <v>61</v>
      </c>
      <c r="K62" s="115">
        <f>IF(ISNUMBER(SEARCH('Карта учёта'!$B$19,Расходка[[#This Row],[Наименование расходного материала]])),MAX($K$1:K61)+1,0)</f>
        <v>61</v>
      </c>
      <c r="L62" s="115">
        <f>IF(ISNUMBER(SEARCH('Карта учёта'!$B$20,Расходка[[#This Row],[Наименование расходного материала]])),MAX($L$1:L61)+1,0)</f>
        <v>61</v>
      </c>
      <c r="M62" s="115">
        <f>IF(ISNUMBER(SEARCH('Карта учёта'!$B$21,Расходка[[#This Row],[Наименование расходного материала]])),MAX($M$1:M61)+1,0)</f>
        <v>61</v>
      </c>
      <c r="N62" s="115">
        <f>IF(ISNUMBER(SEARCH('Карта учёта'!$B$22,Расходка[[#This Row],[Наименование расходного материала]])),MAX($N$1:N61)+1,0)</f>
        <v>61</v>
      </c>
      <c r="O62" s="115">
        <f>IF(ISNUMBER(SEARCH('Карта учёта'!$B$23,Расходка[[#This Row],[Наименование расходного материала]])),MAX($O$1:O61)+1,0)</f>
        <v>61</v>
      </c>
      <c r="P62" s="115">
        <f>IF(ISNUMBER(SEARCH('Карта учёта'!$B$24,Расходка[[#This Row],[Наименование расходного материала]])),MAX($P$1:P61)+1,0)</f>
        <v>61</v>
      </c>
      <c r="Q62" s="115">
        <f>IF(ISNUMBER(SEARCH('Карта учёта'!$B$25,Расходка[[#This Row],[Наименование расходного материала]])),MAX($Q$1:Q61)+1,0)</f>
        <v>61</v>
      </c>
      <c r="R62" s="114" t="str">
        <f>IFERROR(INDEX(Расходка[Наименование расходного материала],MATCH(Расходка[[#This Row],[№]],Поиск_расходки[Индекс1],0)),"")</f>
        <v/>
      </c>
      <c r="S62" s="114" t="str">
        <f>IFERROR(INDEX(Расходка[Наименование расходного материала],MATCH(Расходка[[#This Row],[№]],Поиск_расходки[Индекс2],0)),"")</f>
        <v/>
      </c>
      <c r="T62" s="114" t="str">
        <f>IFERROR(INDEX(Расходка[Наименование расходного материала],MATCH(Расходка[[#This Row],[№]],Поиск_расходки[Индекс3],0)),"")</f>
        <v>DES, Resolute Integtity</v>
      </c>
      <c r="U62" s="114" t="str">
        <f>IFERROR(INDEX(Расходка[Наименование расходного материала],MATCH(Расходка[[#This Row],[№]],Поиск_расходки[Индекс4],0)),"")</f>
        <v>DES, Resolute Integtity</v>
      </c>
      <c r="V62" s="114" t="str">
        <f>IFERROR(INDEX(Расходка[Наименование расходного материала],MATCH(Расходка[[#This Row],[№]],Поиск_расходки[Индекс5],0)),"")</f>
        <v>DES, Resolute Integtity</v>
      </c>
      <c r="W62" s="114" t="str">
        <f>IFERROR(INDEX(Расходка[Наименование расходного материала],MATCH(Расходка[[#This Row],[№]],Поиск_расходки[Индекс6],0)),"")</f>
        <v>DES, Resolute Integtity</v>
      </c>
      <c r="X62" s="114" t="str">
        <f>IFERROR(INDEX(Расходка[Наименование расходного материала],MATCH(Расходка[[#This Row],[№]],Поиск_расходки[Индекс7],0)),"")</f>
        <v>DES, Resolute Integtity</v>
      </c>
      <c r="Y62" s="114" t="str">
        <f>IFERROR(INDEX(Расходка[Наименование расходного материала],MATCH(Расходка[[#This Row],[№]],Поиск_расходки[Индекс8],0)),"")</f>
        <v>DES, Resolute Integtity</v>
      </c>
      <c r="Z62" s="114" t="str">
        <f>IFERROR(INDEX(Расходка[Наименование расходного материала],MATCH(Расходка[[#This Row],[№]],Поиск_расходки[Индекс9],0)),"")</f>
        <v>DES, Resolute Integtity</v>
      </c>
      <c r="AA62" s="114" t="str">
        <f>IFERROR(INDEX(Расходка[Наименование расходного материала],MATCH(Расходка[[#This Row],[№]],Поиск_расходки[Индекс10],0)),"")</f>
        <v>DES, Resolute Integtity</v>
      </c>
      <c r="AB62" s="114" t="str">
        <f>IFERROR(INDEX(Расходка[Наименование расходного материала],MATCH(Расходка[[#This Row],[№]],Поиск_расходки[Индекс11],0)),"")</f>
        <v>DES, Resolute Integtity</v>
      </c>
      <c r="AC62" s="114" t="str">
        <f>IFERROR(INDEX(Расходка[Наименование расходного материала],MATCH(Расходка[[#This Row],[№]],Поиск_расходки[Индекс12],0)),"")</f>
        <v>DES, Resolute Integtity</v>
      </c>
      <c r="AD62" s="114" t="str">
        <f>IFERROR(INDEX(Расходка[Наименование расходного материала],MATCH(Расходка[[#This Row],[№]],Поиск_расходки[Индекс13],0)),"")</f>
        <v>DES, Resolute Integtity</v>
      </c>
      <c r="AF62" s="4" t="s">
        <v>6</v>
      </c>
      <c r="AG62" s="4" t="s">
        <v>453</v>
      </c>
    </row>
    <row r="63" spans="1:33">
      <c r="A63">
        <f>ROW(Расходка[[#This Row],[Тип расходного материала ]])-1</f>
        <v>62</v>
      </c>
      <c r="B63" t="s">
        <v>6</v>
      </c>
      <c r="C63" t="s">
        <v>356</v>
      </c>
      <c r="E63" s="115">
        <f>IF(ISNUMBER(SEARCH('Карта учёта'!$B$13,Расходка[[#This Row],[Наименование расходного материала]])),MAX($E$1:E62)+1,0)</f>
        <v>0</v>
      </c>
      <c r="F63" s="115">
        <f>IF(ISNUMBER(SEARCH('Карта учёта'!$B$14,Расходка[[#This Row],[Наименование расходного материала]])),MAX($F$1:F62)+1,0)</f>
        <v>0</v>
      </c>
      <c r="G63" s="115">
        <f>IF(ISNUMBER(SEARCH('Карта учёта'!$B$15,Расходка[[#This Row],[Наименование расходного материала]])),MAX($G$1:G62)+1,0)</f>
        <v>62</v>
      </c>
      <c r="H63" s="115">
        <f>IF(ISNUMBER(SEARCH('Карта учёта'!$B$16,Расходка[[#This Row],[Наименование расходного материала]])),MAX($H$1:H62)+1,0)</f>
        <v>62</v>
      </c>
      <c r="I63" s="115">
        <f>IF(ISNUMBER(SEARCH('Карта учёта'!$B$17,Расходка[[#This Row],[Наименование расходного материала]])),MAX($I$1:I62)+1,0)</f>
        <v>62</v>
      </c>
      <c r="J63" s="115">
        <f>IF(ISNUMBER(SEARCH('Карта учёта'!$B$18,Расходка[[#This Row],[Наименование расходного материала]])),MAX($J$1:J62)+1,0)</f>
        <v>62</v>
      </c>
      <c r="K63" s="115">
        <f>IF(ISNUMBER(SEARCH('Карта учёта'!$B$19,Расходка[[#This Row],[Наименование расходного материала]])),MAX($K$1:K62)+1,0)</f>
        <v>62</v>
      </c>
      <c r="L63" s="115">
        <f>IF(ISNUMBER(SEARCH('Карта учёта'!$B$20,Расходка[[#This Row],[Наименование расходного материала]])),MAX($L$1:L62)+1,0)</f>
        <v>62</v>
      </c>
      <c r="M63" s="115">
        <f>IF(ISNUMBER(SEARCH('Карта учёта'!$B$21,Расходка[[#This Row],[Наименование расходного материала]])),MAX($M$1:M62)+1,0)</f>
        <v>62</v>
      </c>
      <c r="N63" s="115">
        <f>IF(ISNUMBER(SEARCH('Карта учёта'!$B$22,Расходка[[#This Row],[Наименование расходного материала]])),MAX($N$1:N62)+1,0)</f>
        <v>62</v>
      </c>
      <c r="O63" s="115">
        <f>IF(ISNUMBER(SEARCH('Карта учёта'!$B$23,Расходка[[#This Row],[Наименование расходного материала]])),MAX($O$1:O62)+1,0)</f>
        <v>62</v>
      </c>
      <c r="P63" s="115">
        <f>IF(ISNUMBER(SEARCH('Карта учёта'!$B$24,Расходка[[#This Row],[Наименование расходного материала]])),MAX($P$1:P62)+1,0)</f>
        <v>62</v>
      </c>
      <c r="Q63" s="115">
        <f>IF(ISNUMBER(SEARCH('Карта учёта'!$B$25,Расходка[[#This Row],[Наименование расходного материала]])),MAX($Q$1:Q62)+1,0)</f>
        <v>62</v>
      </c>
      <c r="R63" s="114" t="str">
        <f>IFERROR(INDEX(Расходка[Наименование расходного материала],MATCH(Расходка[[#This Row],[№]],Поиск_расходки[Индекс1],0)),"")</f>
        <v/>
      </c>
      <c r="S63" s="114" t="str">
        <f>IFERROR(INDEX(Расходка[Наименование расходного материала],MATCH(Расходка[[#This Row],[№]],Поиск_расходки[Индекс2],0)),"")</f>
        <v/>
      </c>
      <c r="T63" s="114" t="str">
        <f>IFERROR(INDEX(Расходка[Наименование расходного материала],MATCH(Расходка[[#This Row],[№]],Поиск_расходки[Индекс3],0)),"")</f>
        <v>DES, Yukon Chrome PC</v>
      </c>
      <c r="U63" s="114" t="str">
        <f>IFERROR(INDEX(Расходка[Наименование расходного материала],MATCH(Расходка[[#This Row],[№]],Поиск_расходки[Индекс4],0)),"")</f>
        <v>DES, Yukon Chrome PC</v>
      </c>
      <c r="V63" s="114" t="str">
        <f>IFERROR(INDEX(Расходка[Наименование расходного материала],MATCH(Расходка[[#This Row],[№]],Поиск_расходки[Индекс5],0)),"")</f>
        <v>DES, Yukon Chrome PC</v>
      </c>
      <c r="W63" s="114" t="str">
        <f>IFERROR(INDEX(Расходка[Наименование расходного материала],MATCH(Расходка[[#This Row],[№]],Поиск_расходки[Индекс6],0)),"")</f>
        <v>DES, Yukon Chrome PC</v>
      </c>
      <c r="X63" s="114" t="str">
        <f>IFERROR(INDEX(Расходка[Наименование расходного материала],MATCH(Расходка[[#This Row],[№]],Поиск_расходки[Индекс7],0)),"")</f>
        <v>DES, Yukon Chrome PC</v>
      </c>
      <c r="Y63" s="114" t="str">
        <f>IFERROR(INDEX(Расходка[Наименование расходного материала],MATCH(Расходка[[#This Row],[№]],Поиск_расходки[Индекс8],0)),"")</f>
        <v>DES, Yukon Chrome PC</v>
      </c>
      <c r="Z63" s="114" t="str">
        <f>IFERROR(INDEX(Расходка[Наименование расходного материала],MATCH(Расходка[[#This Row],[№]],Поиск_расходки[Индекс9],0)),"")</f>
        <v>DES, Yukon Chrome PC</v>
      </c>
      <c r="AA63" s="114" t="str">
        <f>IFERROR(INDEX(Расходка[Наименование расходного материала],MATCH(Расходка[[#This Row],[№]],Поиск_расходки[Индекс10],0)),"")</f>
        <v>DES, Yukon Chrome PC</v>
      </c>
      <c r="AB63" s="114" t="str">
        <f>IFERROR(INDEX(Расходка[Наименование расходного материала],MATCH(Расходка[[#This Row],[№]],Поиск_расходки[Индекс11],0)),"")</f>
        <v>DES, Yukon Chrome PC</v>
      </c>
      <c r="AC63" s="114" t="str">
        <f>IFERROR(INDEX(Расходка[Наименование расходного материала],MATCH(Расходка[[#This Row],[№]],Поиск_расходки[Индекс12],0)),"")</f>
        <v>DES, Yukon Chrome PC</v>
      </c>
      <c r="AD63" s="114" t="str">
        <f>IFERROR(INDEX(Расходка[Наименование расходного материала],MATCH(Расходка[[#This Row],[№]],Поиск_расходки[Индекс13],0)),"")</f>
        <v>DES, Yukon Chrome PC</v>
      </c>
      <c r="AF63" s="4" t="s">
        <v>6</v>
      </c>
      <c r="AG63" s="4" t="s">
        <v>454</v>
      </c>
    </row>
    <row r="64" spans="1:33">
      <c r="A64">
        <f>ROW(Расходка[[#This Row],[Тип расходного материала ]])-1</f>
        <v>63</v>
      </c>
      <c r="B64" t="s">
        <v>6</v>
      </c>
      <c r="C64" s="160" t="s">
        <v>384</v>
      </c>
      <c r="E64" s="115">
        <f>IF(ISNUMBER(SEARCH('Карта учёта'!$B$13,Расходка[[#This Row],[Наименование расходного материала]])),MAX($E$1:E63)+1,0)</f>
        <v>0</v>
      </c>
      <c r="F64" s="115">
        <f>IF(ISNUMBER(SEARCH('Карта учёта'!$B$14,Расходка[[#This Row],[Наименование расходного материала]])),MAX($F$1:F63)+1,0)</f>
        <v>0</v>
      </c>
      <c r="G64" s="115">
        <f>IF(ISNUMBER(SEARCH('Карта учёта'!$B$15,Расходка[[#This Row],[Наименование расходного материала]])),MAX($G$1:G63)+1,0)</f>
        <v>63</v>
      </c>
      <c r="H64" s="115">
        <f>IF(ISNUMBER(SEARCH('Карта учёта'!$B$16,Расходка[[#This Row],[Наименование расходного материала]])),MAX($H$1:H63)+1,0)</f>
        <v>63</v>
      </c>
      <c r="I64" s="115">
        <f>IF(ISNUMBER(SEARCH('Карта учёта'!$B$17,Расходка[[#This Row],[Наименование расходного материала]])),MAX($I$1:I63)+1,0)</f>
        <v>63</v>
      </c>
      <c r="J64" s="115">
        <f>IF(ISNUMBER(SEARCH('Карта учёта'!$B$18,Расходка[[#This Row],[Наименование расходного материала]])),MAX($J$1:J63)+1,0)</f>
        <v>63</v>
      </c>
      <c r="K64" s="115">
        <f>IF(ISNUMBER(SEARCH('Карта учёта'!$B$19,Расходка[[#This Row],[Наименование расходного материала]])),MAX($K$1:K63)+1,0)</f>
        <v>63</v>
      </c>
      <c r="L64" s="115">
        <f>IF(ISNUMBER(SEARCH('Карта учёта'!$B$20,Расходка[[#This Row],[Наименование расходного материала]])),MAX($L$1:L63)+1,0)</f>
        <v>63</v>
      </c>
      <c r="M64" s="115">
        <f>IF(ISNUMBER(SEARCH('Карта учёта'!$B$21,Расходка[[#This Row],[Наименование расходного материала]])),MAX($M$1:M63)+1,0)</f>
        <v>63</v>
      </c>
      <c r="N64" s="115">
        <f>IF(ISNUMBER(SEARCH('Карта учёта'!$B$22,Расходка[[#This Row],[Наименование расходного материала]])),MAX($N$1:N63)+1,0)</f>
        <v>63</v>
      </c>
      <c r="O64" s="115">
        <f>IF(ISNUMBER(SEARCH('Карта учёта'!$B$23,Расходка[[#This Row],[Наименование расходного материала]])),MAX($O$1:O63)+1,0)</f>
        <v>63</v>
      </c>
      <c r="P64" s="115">
        <f>IF(ISNUMBER(SEARCH('Карта учёта'!$B$24,Расходка[[#This Row],[Наименование расходного материала]])),MAX($P$1:P63)+1,0)</f>
        <v>63</v>
      </c>
      <c r="Q64" s="115">
        <f>IF(ISNUMBER(SEARCH('Карта учёта'!$B$25,Расходка[[#This Row],[Наименование расходного материала]])),MAX($Q$1:Q63)+1,0)</f>
        <v>63</v>
      </c>
      <c r="R64" s="114" t="str">
        <f>IFERROR(INDEX(Расходка[Наименование расходного материала],MATCH(Расходка[[#This Row],[№]],Поиск_расходки[Индекс1],0)),"")</f>
        <v/>
      </c>
      <c r="S64" s="114" t="str">
        <f>IFERROR(INDEX(Расходка[Наименование расходного материала],MATCH(Расходка[[#This Row],[№]],Поиск_расходки[Индекс2],0)),"")</f>
        <v/>
      </c>
      <c r="T64" s="114" t="str">
        <f>IFERROR(INDEX(Расходка[Наименование расходного материала],MATCH(Расходка[[#This Row],[№]],Поиск_расходки[Индекс3],0)),"")</f>
        <v>DES, Firehawk</v>
      </c>
      <c r="U64" s="114" t="str">
        <f>IFERROR(INDEX(Расходка[Наименование расходного материала],MATCH(Расходка[[#This Row],[№]],Поиск_расходки[Индекс4],0)),"")</f>
        <v>DES, Firehawk</v>
      </c>
      <c r="V64" s="114" t="str">
        <f>IFERROR(INDEX(Расходка[Наименование расходного материала],MATCH(Расходка[[#This Row],[№]],Поиск_расходки[Индекс5],0)),"")</f>
        <v>DES, Firehawk</v>
      </c>
      <c r="W64" s="114" t="str">
        <f>IFERROR(INDEX(Расходка[Наименование расходного материала],MATCH(Расходка[[#This Row],[№]],Поиск_расходки[Индекс6],0)),"")</f>
        <v>DES, Firehawk</v>
      </c>
      <c r="X64" s="114" t="str">
        <f>IFERROR(INDEX(Расходка[Наименование расходного материала],MATCH(Расходка[[#This Row],[№]],Поиск_расходки[Индекс7],0)),"")</f>
        <v>DES, Firehawk</v>
      </c>
      <c r="Y64" s="114" t="str">
        <f>IFERROR(INDEX(Расходка[Наименование расходного материала],MATCH(Расходка[[#This Row],[№]],Поиск_расходки[Индекс8],0)),"")</f>
        <v>DES, Firehawk</v>
      </c>
      <c r="Z64" s="114" t="str">
        <f>IFERROR(INDEX(Расходка[Наименование расходного материала],MATCH(Расходка[[#This Row],[№]],Поиск_расходки[Индекс9],0)),"")</f>
        <v>DES, Firehawk</v>
      </c>
      <c r="AA64" s="114" t="str">
        <f>IFERROR(INDEX(Расходка[Наименование расходного материала],MATCH(Расходка[[#This Row],[№]],Поиск_расходки[Индекс10],0)),"")</f>
        <v>DES, Firehawk</v>
      </c>
      <c r="AB64" s="114" t="str">
        <f>IFERROR(INDEX(Расходка[Наименование расходного материала],MATCH(Расходка[[#This Row],[№]],Поиск_расходки[Индекс11],0)),"")</f>
        <v>DES, Firehawk</v>
      </c>
      <c r="AC64" s="114" t="str">
        <f>IFERROR(INDEX(Расходка[Наименование расходного материала],MATCH(Расходка[[#This Row],[№]],Поиск_расходки[Индекс12],0)),"")</f>
        <v>DES, Firehawk</v>
      </c>
      <c r="AD64" s="114" t="str">
        <f>IFERROR(INDEX(Расходка[Наименование расходного материала],MATCH(Расходка[[#This Row],[№]],Поиск_расходки[Индекс13],0)),"")</f>
        <v>DES, Firehawk</v>
      </c>
      <c r="AF64" s="4" t="s">
        <v>6</v>
      </c>
      <c r="AG64" s="4" t="s">
        <v>455</v>
      </c>
    </row>
    <row r="65" spans="1:33">
      <c r="A65">
        <f>ROW(Расходка[[#This Row],[Тип расходного материала ]])-1</f>
        <v>64</v>
      </c>
      <c r="B65" t="s">
        <v>6</v>
      </c>
      <c r="C65" t="s">
        <v>383</v>
      </c>
      <c r="E65" s="115">
        <f>IF(ISNUMBER(SEARCH('Карта учёта'!$B$13,Расходка[[#This Row],[Наименование расходного материала]])),MAX($E$1:E64)+1,0)</f>
        <v>0</v>
      </c>
      <c r="F65" s="115">
        <f>IF(ISNUMBER(SEARCH('Карта учёта'!$B$14,Расходка[[#This Row],[Наименование расходного материала]])),MAX($F$1:F64)+1,0)</f>
        <v>0</v>
      </c>
      <c r="G65" s="115">
        <f>IF(ISNUMBER(SEARCH('Карта учёта'!$B$15,Расходка[[#This Row],[Наименование расходного материала]])),MAX($G$1:G64)+1,0)</f>
        <v>64</v>
      </c>
      <c r="H65" s="115">
        <f>IF(ISNUMBER(SEARCH('Карта учёта'!$B$16,Расходка[[#This Row],[Наименование расходного материала]])),MAX($H$1:H64)+1,0)</f>
        <v>64</v>
      </c>
      <c r="I65" s="115">
        <f>IF(ISNUMBER(SEARCH('Карта учёта'!$B$17,Расходка[[#This Row],[Наименование расходного материала]])),MAX($I$1:I64)+1,0)</f>
        <v>64</v>
      </c>
      <c r="J65" s="115">
        <f>IF(ISNUMBER(SEARCH('Карта учёта'!$B$18,Расходка[[#This Row],[Наименование расходного материала]])),MAX($J$1:J64)+1,0)</f>
        <v>64</v>
      </c>
      <c r="K65" s="115">
        <f>IF(ISNUMBER(SEARCH('Карта учёта'!$B$19,Расходка[[#This Row],[Наименование расходного материала]])),MAX($K$1:K64)+1,0)</f>
        <v>64</v>
      </c>
      <c r="L65" s="115">
        <f>IF(ISNUMBER(SEARCH('Карта учёта'!$B$20,Расходка[[#This Row],[Наименование расходного материала]])),MAX($L$1:L64)+1,0)</f>
        <v>64</v>
      </c>
      <c r="M65" s="115">
        <f>IF(ISNUMBER(SEARCH('Карта учёта'!$B$21,Расходка[[#This Row],[Наименование расходного материала]])),MAX($M$1:M64)+1,0)</f>
        <v>64</v>
      </c>
      <c r="N65" s="115">
        <f>IF(ISNUMBER(SEARCH('Карта учёта'!$B$22,Расходка[[#This Row],[Наименование расходного материала]])),MAX($N$1:N64)+1,0)</f>
        <v>64</v>
      </c>
      <c r="O65" s="115">
        <f>IF(ISNUMBER(SEARCH('Карта учёта'!$B$23,Расходка[[#This Row],[Наименование расходного материала]])),MAX($O$1:O64)+1,0)</f>
        <v>64</v>
      </c>
      <c r="P65" s="115">
        <f>IF(ISNUMBER(SEARCH('Карта учёта'!$B$24,Расходка[[#This Row],[Наименование расходного материала]])),MAX($P$1:P64)+1,0)</f>
        <v>64</v>
      </c>
      <c r="Q65" s="115">
        <f>IF(ISNUMBER(SEARCH('Карта учёта'!$B$25,Расходка[[#This Row],[Наименование расходного материала]])),MAX($Q$1:Q64)+1,0)</f>
        <v>64</v>
      </c>
      <c r="R65" s="114" t="str">
        <f>IFERROR(INDEX(Расходка[Наименование расходного материала],MATCH(Расходка[[#This Row],[№]],Поиск_расходки[Индекс1],0)),"")</f>
        <v/>
      </c>
      <c r="S65" s="114" t="str">
        <f>IFERROR(INDEX(Расходка[Наименование расходного материала],MATCH(Расходка[[#This Row],[№]],Поиск_расходки[Индекс2],0)),"")</f>
        <v/>
      </c>
      <c r="T65" s="114" t="str">
        <f>IFERROR(INDEX(Расходка[Наименование расходного материала],MATCH(Расходка[[#This Row],[№]],Поиск_расходки[Индекс3],0)),"")</f>
        <v>DES, Resolute Onyx</v>
      </c>
      <c r="U65" s="114" t="str">
        <f>IFERROR(INDEX(Расходка[Наименование расходного материала],MATCH(Расходка[[#This Row],[№]],Поиск_расходки[Индекс4],0)),"")</f>
        <v>DES, Resolute Onyx</v>
      </c>
      <c r="V65" s="114" t="str">
        <f>IFERROR(INDEX(Расходка[Наименование расходного материала],MATCH(Расходка[[#This Row],[№]],Поиск_расходки[Индекс5],0)),"")</f>
        <v>DES, Resolute Onyx</v>
      </c>
      <c r="W65" s="114" t="str">
        <f>IFERROR(INDEX(Расходка[Наименование расходного материала],MATCH(Расходка[[#This Row],[№]],Поиск_расходки[Индекс6],0)),"")</f>
        <v>DES, Resolute Onyx</v>
      </c>
      <c r="X65" s="114" t="str">
        <f>IFERROR(INDEX(Расходка[Наименование расходного материала],MATCH(Расходка[[#This Row],[№]],Поиск_расходки[Индекс7],0)),"")</f>
        <v>DES, Resolute Onyx</v>
      </c>
      <c r="Y65" s="114" t="str">
        <f>IFERROR(INDEX(Расходка[Наименование расходного материала],MATCH(Расходка[[#This Row],[№]],Поиск_расходки[Индекс8],0)),"")</f>
        <v>DES, Resolute Onyx</v>
      </c>
      <c r="Z65" s="114" t="str">
        <f>IFERROR(INDEX(Расходка[Наименование расходного материала],MATCH(Расходка[[#This Row],[№]],Поиск_расходки[Индекс9],0)),"")</f>
        <v>DES, Resolute Onyx</v>
      </c>
      <c r="AA65" s="114" t="str">
        <f>IFERROR(INDEX(Расходка[Наименование расходного материала],MATCH(Расходка[[#This Row],[№]],Поиск_расходки[Индекс10],0)),"")</f>
        <v>DES, Resolute Onyx</v>
      </c>
      <c r="AB65" s="114" t="str">
        <f>IFERROR(INDEX(Расходка[Наименование расходного материала],MATCH(Расходка[[#This Row],[№]],Поиск_расходки[Индекс11],0)),"")</f>
        <v>DES, Resolute Onyx</v>
      </c>
      <c r="AC65" s="114" t="str">
        <f>IFERROR(INDEX(Расходка[Наименование расходного материала],MATCH(Расходка[[#This Row],[№]],Поиск_расходки[Индекс12],0)),"")</f>
        <v>DES, Resolute Onyx</v>
      </c>
      <c r="AD65" s="114" t="str">
        <f>IFERROR(INDEX(Расходка[Наименование расходного материала],MATCH(Расходка[[#This Row],[№]],Поиск_расходки[Индекс13],0)),"")</f>
        <v>DES, Resolute Onyx</v>
      </c>
      <c r="AF65" s="4" t="s">
        <v>6</v>
      </c>
      <c r="AG65" s="4" t="s">
        <v>456</v>
      </c>
    </row>
    <row r="66" spans="1:33">
      <c r="A66">
        <f>ROW(Расходка[[#This Row],[Тип расходного материала ]])-1</f>
        <v>65</v>
      </c>
      <c r="B66" t="s">
        <v>6</v>
      </c>
      <c r="C66" t="s">
        <v>515</v>
      </c>
      <c r="E66" s="115">
        <f>IF(ISNUMBER(SEARCH('Карта учёта'!$B$13,Расходка[[#This Row],[Наименование расходного материала]])),MAX($E$1:E65)+1,0)</f>
        <v>0</v>
      </c>
      <c r="F66" s="115">
        <f>IF(ISNUMBER(SEARCH('Карта учёта'!$B$14,Расходка[[#This Row],[Наименование расходного материала]])),MAX($F$1:F65)+1,0)</f>
        <v>0</v>
      </c>
      <c r="G66" s="115">
        <f>IF(ISNUMBER(SEARCH('Карта учёта'!$B$15,Расходка[[#This Row],[Наименование расходного материала]])),MAX($G$1:G65)+1,0)</f>
        <v>65</v>
      </c>
      <c r="H66" s="115">
        <f>IF(ISNUMBER(SEARCH('Карта учёта'!$B$16,Расходка[[#This Row],[Наименование расходного материала]])),MAX($H$1:H65)+1,0)</f>
        <v>65</v>
      </c>
      <c r="I66" s="115">
        <f>IF(ISNUMBER(SEARCH('Карта учёта'!$B$17,Расходка[[#This Row],[Наименование расходного материала]])),MAX($I$1:I65)+1,0)</f>
        <v>65</v>
      </c>
      <c r="J66" s="115">
        <f>IF(ISNUMBER(SEARCH('Карта учёта'!$B$18,Расходка[[#This Row],[Наименование расходного материала]])),MAX($J$1:J65)+1,0)</f>
        <v>65</v>
      </c>
      <c r="K66" s="115">
        <f>IF(ISNUMBER(SEARCH('Карта учёта'!$B$19,Расходка[[#This Row],[Наименование расходного материала]])),MAX($K$1:K65)+1,0)</f>
        <v>65</v>
      </c>
      <c r="L66" s="115">
        <f>IF(ISNUMBER(SEARCH('Карта учёта'!$B$20,Расходка[[#This Row],[Наименование расходного материала]])),MAX($L$1:L65)+1,0)</f>
        <v>65</v>
      </c>
      <c r="M66" s="115">
        <f>IF(ISNUMBER(SEARCH('Карта учёта'!$B$21,Расходка[[#This Row],[Наименование расходного материала]])),MAX($M$1:M65)+1,0)</f>
        <v>65</v>
      </c>
      <c r="N66" s="115">
        <f>IF(ISNUMBER(SEARCH('Карта учёта'!$B$22,Расходка[[#This Row],[Наименование расходного материала]])),MAX($N$1:N65)+1,0)</f>
        <v>65</v>
      </c>
      <c r="O66" s="115">
        <f>IF(ISNUMBER(SEARCH('Карта учёта'!$B$23,Расходка[[#This Row],[Наименование расходного материала]])),MAX($O$1:O65)+1,0)</f>
        <v>65</v>
      </c>
      <c r="P66" s="115">
        <f>IF(ISNUMBER(SEARCH('Карта учёта'!$B$24,Расходка[[#This Row],[Наименование расходного материала]])),MAX($P$1:P65)+1,0)</f>
        <v>65</v>
      </c>
      <c r="Q66" s="115">
        <f>IF(ISNUMBER(SEARCH('Карта учёта'!$B$25,Расходка[[#This Row],[Наименование расходного материала]])),MAX($Q$1:Q65)+1,0)</f>
        <v>65</v>
      </c>
      <c r="R66" s="114" t="str">
        <f>IFERROR(INDEX(Расходка[Наименование расходного материала],MATCH(Расходка[[#This Row],[№]],Поиск_расходки[Индекс1],0)),"")</f>
        <v/>
      </c>
      <c r="S66" s="114" t="str">
        <f>IFERROR(INDEX(Расходка[Наименование расходного материала],MATCH(Расходка[[#This Row],[№]],Поиск_расходки[Индекс2],0)),"")</f>
        <v/>
      </c>
      <c r="T66" s="114" t="str">
        <f>IFERROR(INDEX(Расходка[Наименование расходного материала],MATCH(Расходка[[#This Row],[№]],Поиск_расходки[Индекс3],0)),"")</f>
        <v>DES, Калипсо</v>
      </c>
      <c r="U66" s="114" t="str">
        <f>IFERROR(INDEX(Расходка[Наименование расходного материала],MATCH(Расходка[[#This Row],[№]],Поиск_расходки[Индекс4],0)),"")</f>
        <v>DES, Калипсо</v>
      </c>
      <c r="V66" s="114" t="str">
        <f>IFERROR(INDEX(Расходка[Наименование расходного материала],MATCH(Расходка[[#This Row],[№]],Поиск_расходки[Индекс5],0)),"")</f>
        <v>DES, Калипсо</v>
      </c>
      <c r="W66" s="114" t="str">
        <f>IFERROR(INDEX(Расходка[Наименование расходного материала],MATCH(Расходка[[#This Row],[№]],Поиск_расходки[Индекс6],0)),"")</f>
        <v>DES, Калипсо</v>
      </c>
      <c r="X66" s="114" t="str">
        <f>IFERROR(INDEX(Расходка[Наименование расходного материала],MATCH(Расходка[[#This Row],[№]],Поиск_расходки[Индекс7],0)),"")</f>
        <v>DES, Калипсо</v>
      </c>
      <c r="Y66" s="114" t="str">
        <f>IFERROR(INDEX(Расходка[Наименование расходного материала],MATCH(Расходка[[#This Row],[№]],Поиск_расходки[Индекс8],0)),"")</f>
        <v>DES, Калипсо</v>
      </c>
      <c r="Z66" s="114" t="str">
        <f>IFERROR(INDEX(Расходка[Наименование расходного материала],MATCH(Расходка[[#This Row],[№]],Поиск_расходки[Индекс9],0)),"")</f>
        <v>DES, Калипсо</v>
      </c>
      <c r="AA66" s="114" t="str">
        <f>IFERROR(INDEX(Расходка[Наименование расходного материала],MATCH(Расходка[[#This Row],[№]],Поиск_расходки[Индекс10],0)),"")</f>
        <v>DES, Калипсо</v>
      </c>
      <c r="AB66" s="114" t="str">
        <f>IFERROR(INDEX(Расходка[Наименование расходного материала],MATCH(Расходка[[#This Row],[№]],Поиск_расходки[Индекс11],0)),"")</f>
        <v>DES, Калипсо</v>
      </c>
      <c r="AC66" s="114" t="str">
        <f>IFERROR(INDEX(Расходка[Наименование расходного материала],MATCH(Расходка[[#This Row],[№]],Поиск_расходки[Индекс12],0)),"")</f>
        <v>DES, Калипсо</v>
      </c>
      <c r="AD66" s="114" t="str">
        <f>IFERROR(INDEX(Расходка[Наименование расходного материала],MATCH(Расходка[[#This Row],[№]],Поиск_расходки[Индекс13],0)),"")</f>
        <v>DES, Калипсо</v>
      </c>
      <c r="AF66" s="4" t="s">
        <v>6</v>
      </c>
      <c r="AG66" s="4" t="s">
        <v>457</v>
      </c>
    </row>
    <row r="67" spans="1:33">
      <c r="A67">
        <f>ROW(Расходка[[#This Row],[Тип расходного материала ]])-1</f>
        <v>66</v>
      </c>
      <c r="B67" t="s">
        <v>6</v>
      </c>
      <c r="C67" t="s">
        <v>516</v>
      </c>
      <c r="E67" s="196">
        <f>IF(ISNUMBER(SEARCH('Карта учёта'!$B$13,Расходка[[#This Row],[Наименование расходного материала]])),MAX($E$1:E66)+1,0)</f>
        <v>0</v>
      </c>
      <c r="F67" s="196">
        <f>IF(ISNUMBER(SEARCH('Карта учёта'!$B$14,Расходка[[#This Row],[Наименование расходного материала]])),MAX($F$1:F66)+1,0)</f>
        <v>0</v>
      </c>
      <c r="G67" s="196">
        <f>IF(ISNUMBER(SEARCH('Карта учёта'!$B$15,Расходка[[#This Row],[Наименование расходного материала]])),MAX($G$1:G66)+1,0)</f>
        <v>66</v>
      </c>
      <c r="H67" s="196">
        <f>IF(ISNUMBER(SEARCH('Карта учёта'!$B$16,Расходка[[#This Row],[Наименование расходного материала]])),MAX($H$1:H66)+1,0)</f>
        <v>66</v>
      </c>
      <c r="I67" s="196">
        <f>IF(ISNUMBER(SEARCH('Карта учёта'!$B$17,Расходка[[#This Row],[Наименование расходного материала]])),MAX($I$1:I66)+1,0)</f>
        <v>66</v>
      </c>
      <c r="J67" s="196">
        <f>IF(ISNUMBER(SEARCH('Карта учёта'!$B$18,Расходка[[#This Row],[Наименование расходного материала]])),MAX($J$1:J66)+1,0)</f>
        <v>66</v>
      </c>
      <c r="K67" s="196">
        <f>IF(ISNUMBER(SEARCH('Карта учёта'!$B$19,Расходка[[#This Row],[Наименование расходного материала]])),MAX($K$1:K66)+1,0)</f>
        <v>66</v>
      </c>
      <c r="L67" s="196">
        <f>IF(ISNUMBER(SEARCH('Карта учёта'!$B$20,Расходка[[#This Row],[Наименование расходного материала]])),MAX($L$1:L66)+1,0)</f>
        <v>66</v>
      </c>
      <c r="M67" s="196">
        <f>IF(ISNUMBER(SEARCH('Карта учёта'!$B$21,Расходка[[#This Row],[Наименование расходного материала]])),MAX($M$1:M66)+1,0)</f>
        <v>66</v>
      </c>
      <c r="N67" s="196">
        <f>IF(ISNUMBER(SEARCH('Карта учёта'!$B$22,Расходка[[#This Row],[Наименование расходного материала]])),MAX($N$1:N66)+1,0)</f>
        <v>66</v>
      </c>
      <c r="O67" s="196">
        <f>IF(ISNUMBER(SEARCH('Карта учёта'!$B$23,Расходка[[#This Row],[Наименование расходного материала]])),MAX($O$1:O66)+1,0)</f>
        <v>66</v>
      </c>
      <c r="P67" s="196">
        <f>IF(ISNUMBER(SEARCH('Карта учёта'!$B$24,Расходка[[#This Row],[Наименование расходного материала]])),MAX($P$1:P66)+1,0)</f>
        <v>66</v>
      </c>
      <c r="Q67" s="196">
        <f>IF(ISNUMBER(SEARCH('Карта учёта'!$B$25,Расходка[[#This Row],[Наименование расходного материала]])),MAX($Q$1:Q66)+1,0)</f>
        <v>66</v>
      </c>
      <c r="R67" s="197" t="str">
        <f>IFERROR(INDEX(Расходка[Наименование расходного материала],MATCH(Расходка[[#This Row],[№]],Поиск_расходки[Индекс1],0)),"")</f>
        <v/>
      </c>
      <c r="S67" s="197" t="str">
        <f>IFERROR(INDEX(Расходка[Наименование расходного материала],MATCH(Расходка[[#This Row],[№]],Поиск_расходки[Индекс2],0)),"")</f>
        <v/>
      </c>
      <c r="T67" s="197" t="str">
        <f>IFERROR(INDEX(Расходка[Наименование расходного материала],MATCH(Расходка[[#This Row],[№]],Поиск_расходки[Индекс3],0)),"")</f>
        <v>Meril Evermine50™</v>
      </c>
      <c r="U67" s="197" t="str">
        <f>IFERROR(INDEX(Расходка[Наименование расходного материала],MATCH(Расходка[[#This Row],[№]],Поиск_расходки[Индекс4],0)),"")</f>
        <v>Meril Evermine50™</v>
      </c>
      <c r="V67" s="197" t="str">
        <f>IFERROR(INDEX(Расходка[Наименование расходного материала],MATCH(Расходка[[#This Row],[№]],Поиск_расходки[Индекс5],0)),"")</f>
        <v>Meril Evermine50™</v>
      </c>
      <c r="W67" s="197" t="str">
        <f>IFERROR(INDEX(Расходка[Наименование расходного материала],MATCH(Расходка[[#This Row],[№]],Поиск_расходки[Индекс6],0)),"")</f>
        <v>Meril Evermine50™</v>
      </c>
      <c r="X67" s="197" t="str">
        <f>IFERROR(INDEX(Расходка[Наименование расходного материала],MATCH(Расходка[[#This Row],[№]],Поиск_расходки[Индекс7],0)),"")</f>
        <v>Meril Evermine50™</v>
      </c>
      <c r="Y67" s="197" t="str">
        <f>IFERROR(INDEX(Расходка[Наименование расходного материала],MATCH(Расходка[[#This Row],[№]],Поиск_расходки[Индекс8],0)),"")</f>
        <v>Meril Evermine50™</v>
      </c>
      <c r="Z67" s="197" t="str">
        <f>IFERROR(INDEX(Расходка[Наименование расходного материала],MATCH(Расходка[[#This Row],[№]],Поиск_расходки[Индекс9],0)),"")</f>
        <v>Meril Evermine50™</v>
      </c>
      <c r="AA67" s="197" t="str">
        <f>IFERROR(INDEX(Расходка[Наименование расходного материала],MATCH(Расходка[[#This Row],[№]],Поиск_расходки[Индекс10],0)),"")</f>
        <v>Meril Evermine50™</v>
      </c>
      <c r="AB67" s="197" t="str">
        <f>IFERROR(INDEX(Расходка[Наименование расходного материала],MATCH(Расходка[[#This Row],[№]],Поиск_расходки[Индекс11],0)),"")</f>
        <v>Meril Evermine50™</v>
      </c>
      <c r="AC67" s="197" t="str">
        <f>IFERROR(INDEX(Расходка[Наименование расходного материала],MATCH(Расходка[[#This Row],[№]],Поиск_расходки[Индекс12],0)),"")</f>
        <v>Meril Evermine50™</v>
      </c>
      <c r="AD67" s="197" t="str">
        <f>IFERROR(INDEX(Расходка[Наименование расходного материала],MATCH(Расходка[[#This Row],[№]],Поиск_расходки[Индекс13],0)),"")</f>
        <v>Meril Evermine50™</v>
      </c>
      <c r="AF67" s="4" t="s">
        <v>6</v>
      </c>
      <c r="AG67" s="4" t="s">
        <v>458</v>
      </c>
    </row>
    <row r="68" spans="1:33">
      <c r="A68">
        <f>ROW(Расходка[[#This Row],[Тип расходного материала ]])-1</f>
        <v>67</v>
      </c>
      <c r="B68" t="s">
        <v>95</v>
      </c>
      <c r="C68" s="1" t="s">
        <v>323</v>
      </c>
      <c r="E68" s="196">
        <f>IF(ISNUMBER(SEARCH('Карта учёта'!$B$13,Расходка[[#This Row],[Наименование расходного материала]])),MAX($E$1:E67)+1,0)</f>
        <v>0</v>
      </c>
      <c r="F68" s="196">
        <f>IF(ISNUMBER(SEARCH('Карта учёта'!$B$14,Расходка[[#This Row],[Наименование расходного материала]])),MAX($F$1:F67)+1,0)</f>
        <v>0</v>
      </c>
      <c r="G68" s="196">
        <f>IF(ISNUMBER(SEARCH('Карта учёта'!$B$15,Расходка[[#This Row],[Наименование расходного материала]])),MAX($G$1:G67)+1,0)</f>
        <v>67</v>
      </c>
      <c r="H68" s="196">
        <f>IF(ISNUMBER(SEARCH('Карта учёта'!$B$16,Расходка[[#This Row],[Наименование расходного материала]])),MAX($H$1:H67)+1,0)</f>
        <v>67</v>
      </c>
      <c r="I68" s="196">
        <f>IF(ISNUMBER(SEARCH('Карта учёта'!$B$17,Расходка[[#This Row],[Наименование расходного материала]])),MAX($I$1:I67)+1,0)</f>
        <v>67</v>
      </c>
      <c r="J68" s="196">
        <f>IF(ISNUMBER(SEARCH('Карта учёта'!$B$18,Расходка[[#This Row],[Наименование расходного материала]])),MAX($J$1:J67)+1,0)</f>
        <v>67</v>
      </c>
      <c r="K68" s="196">
        <f>IF(ISNUMBER(SEARCH('Карта учёта'!$B$19,Расходка[[#This Row],[Наименование расходного материала]])),MAX($K$1:K67)+1,0)</f>
        <v>67</v>
      </c>
      <c r="L68" s="196">
        <f>IF(ISNUMBER(SEARCH('Карта учёта'!$B$20,Расходка[[#This Row],[Наименование расходного материала]])),MAX($L$1:L67)+1,0)</f>
        <v>67</v>
      </c>
      <c r="M68" s="196">
        <f>IF(ISNUMBER(SEARCH('Карта учёта'!$B$21,Расходка[[#This Row],[Наименование расходного материала]])),MAX($M$1:M67)+1,0)</f>
        <v>67</v>
      </c>
      <c r="N68" s="196">
        <f>IF(ISNUMBER(SEARCH('Карта учёта'!$B$22,Расходка[[#This Row],[Наименование расходного материала]])),MAX($N$1:N67)+1,0)</f>
        <v>67</v>
      </c>
      <c r="O68" s="196">
        <f>IF(ISNUMBER(SEARCH('Карта учёта'!$B$23,Расходка[[#This Row],[Наименование расходного материала]])),MAX($O$1:O67)+1,0)</f>
        <v>67</v>
      </c>
      <c r="P68" s="196">
        <f>IF(ISNUMBER(SEARCH('Карта учёта'!$B$24,Расходка[[#This Row],[Наименование расходного материала]])),MAX($P$1:P67)+1,0)</f>
        <v>67</v>
      </c>
      <c r="Q68" s="196">
        <f>IF(ISNUMBER(SEARCH('Карта учёта'!$B$25,Расходка[[#This Row],[Наименование расходного материала]])),MAX($Q$1:Q67)+1,0)</f>
        <v>67</v>
      </c>
      <c r="R68" s="197" t="str">
        <f>IFERROR(INDEX(Расходка[Наименование расходного материала],MATCH(Расходка[[#This Row],[№]],Поиск_расходки[Индекс1],0)),"")</f>
        <v/>
      </c>
      <c r="S68" s="197" t="str">
        <f>IFERROR(INDEX(Расходка[Наименование расходного материала],MATCH(Расходка[[#This Row],[№]],Поиск_расходки[Индекс2],0)),"")</f>
        <v/>
      </c>
      <c r="T68" s="197" t="str">
        <f>IFERROR(INDEX(Расходка[Наименование расходного материала],MATCH(Расходка[[#This Row],[№]],Поиск_расходки[Индекс3],0)),"")</f>
        <v>Guidezilla™ II 6F</v>
      </c>
      <c r="U68" s="197" t="str">
        <f>IFERROR(INDEX(Расходка[Наименование расходного материала],MATCH(Расходка[[#This Row],[№]],Поиск_расходки[Индекс4],0)),"")</f>
        <v>Guidezilla™ II 6F</v>
      </c>
      <c r="V68" s="197" t="str">
        <f>IFERROR(INDEX(Расходка[Наименование расходного материала],MATCH(Расходка[[#This Row],[№]],Поиск_расходки[Индекс5],0)),"")</f>
        <v>Guidezilla™ II 6F</v>
      </c>
      <c r="W68" s="197" t="str">
        <f>IFERROR(INDEX(Расходка[Наименование расходного материала],MATCH(Расходка[[#This Row],[№]],Поиск_расходки[Индекс6],0)),"")</f>
        <v>Guidezilla™ II 6F</v>
      </c>
      <c r="X68" s="197" t="str">
        <f>IFERROR(INDEX(Расходка[Наименование расходного материала],MATCH(Расходка[[#This Row],[№]],Поиск_расходки[Индекс7],0)),"")</f>
        <v>Guidezilla™ II 6F</v>
      </c>
      <c r="Y68" s="197" t="str">
        <f>IFERROR(INDEX(Расходка[Наименование расходного материала],MATCH(Расходка[[#This Row],[№]],Поиск_расходки[Индекс8],0)),"")</f>
        <v>Guidezilla™ II 6F</v>
      </c>
      <c r="Z68" s="197" t="str">
        <f>IFERROR(INDEX(Расходка[Наименование расходного материала],MATCH(Расходка[[#This Row],[№]],Поиск_расходки[Индекс9],0)),"")</f>
        <v>Guidezilla™ II 6F</v>
      </c>
      <c r="AA68" s="197" t="str">
        <f>IFERROR(INDEX(Расходка[Наименование расходного материала],MATCH(Расходка[[#This Row],[№]],Поиск_расходки[Индекс10],0)),"")</f>
        <v>Guidezilla™ II 6F</v>
      </c>
      <c r="AB68" s="197" t="str">
        <f>IFERROR(INDEX(Расходка[Наименование расходного материала],MATCH(Расходка[[#This Row],[№]],Поиск_расходки[Индекс11],0)),"")</f>
        <v>Guidezilla™ II 6F</v>
      </c>
      <c r="AC68" s="197" t="str">
        <f>IFERROR(INDEX(Расходка[Наименование расходного материала],MATCH(Расходка[[#This Row],[№]],Поиск_расходки[Индекс12],0)),"")</f>
        <v>Guidezilla™ II 6F</v>
      </c>
      <c r="AD68" s="197" t="str">
        <f>IFERROR(INDEX(Расходка[Наименование расходного материала],MATCH(Расходка[[#This Row],[№]],Поиск_расходки[Индекс13],0)),"")</f>
        <v>Guidezilla™ II 6F</v>
      </c>
      <c r="AF68" s="4" t="s">
        <v>6</v>
      </c>
      <c r="AG68" s="4" t="s">
        <v>459</v>
      </c>
    </row>
    <row r="69" spans="1:33">
      <c r="A69">
        <f>ROW(Расходка[[#This Row],[Тип расходного материала ]])-1</f>
        <v>68</v>
      </c>
      <c r="B69" t="s">
        <v>95</v>
      </c>
      <c r="C69" s="1" t="s">
        <v>342</v>
      </c>
      <c r="E69" s="196">
        <f>IF(ISNUMBER(SEARCH('Карта учёта'!$B$13,Расходка[[#This Row],[Наименование расходного материала]])),MAX($E$1:E68)+1,0)</f>
        <v>0</v>
      </c>
      <c r="F69" s="196">
        <f>IF(ISNUMBER(SEARCH('Карта учёта'!$B$14,Расходка[[#This Row],[Наименование расходного материала]])),MAX($F$1:F68)+1,0)</f>
        <v>0</v>
      </c>
      <c r="G69" s="196">
        <f>IF(ISNUMBER(SEARCH('Карта учёта'!$B$15,Расходка[[#This Row],[Наименование расходного материала]])),MAX($G$1:G68)+1,0)</f>
        <v>68</v>
      </c>
      <c r="H69" s="196">
        <f>IF(ISNUMBER(SEARCH('Карта учёта'!$B$16,Расходка[[#This Row],[Наименование расходного материала]])),MAX($H$1:H68)+1,0)</f>
        <v>68</v>
      </c>
      <c r="I69" s="196">
        <f>IF(ISNUMBER(SEARCH('Карта учёта'!$B$17,Расходка[[#This Row],[Наименование расходного материала]])),MAX($I$1:I68)+1,0)</f>
        <v>68</v>
      </c>
      <c r="J69" s="196">
        <f>IF(ISNUMBER(SEARCH('Карта учёта'!$B$18,Расходка[[#This Row],[Наименование расходного материала]])),MAX($J$1:J68)+1,0)</f>
        <v>68</v>
      </c>
      <c r="K69" s="196">
        <f>IF(ISNUMBER(SEARCH('Карта учёта'!$B$19,Расходка[[#This Row],[Наименование расходного материала]])),MAX($K$1:K68)+1,0)</f>
        <v>68</v>
      </c>
      <c r="L69" s="196">
        <f>IF(ISNUMBER(SEARCH('Карта учёта'!$B$20,Расходка[[#This Row],[Наименование расходного материала]])),MAX($L$1:L68)+1,0)</f>
        <v>68</v>
      </c>
      <c r="M69" s="196">
        <f>IF(ISNUMBER(SEARCH('Карта учёта'!$B$21,Расходка[[#This Row],[Наименование расходного материала]])),MAX($M$1:M68)+1,0)</f>
        <v>68</v>
      </c>
      <c r="N69" s="196">
        <f>IF(ISNUMBER(SEARCH('Карта учёта'!$B$22,Расходка[[#This Row],[Наименование расходного материала]])),MAX($N$1:N68)+1,0)</f>
        <v>68</v>
      </c>
      <c r="O69" s="196">
        <f>IF(ISNUMBER(SEARCH('Карта учёта'!$B$23,Расходка[[#This Row],[Наименование расходного материала]])),MAX($O$1:O68)+1,0)</f>
        <v>68</v>
      </c>
      <c r="P69" s="196">
        <f>IF(ISNUMBER(SEARCH('Карта учёта'!$B$24,Расходка[[#This Row],[Наименование расходного материала]])),MAX($P$1:P68)+1,0)</f>
        <v>68</v>
      </c>
      <c r="Q69" s="196">
        <f>IF(ISNUMBER(SEARCH('Карта учёта'!$B$25,Расходка[[#This Row],[Наименование расходного материала]])),MAX($Q$1:Q68)+1,0)</f>
        <v>68</v>
      </c>
      <c r="R69" s="197" t="str">
        <f>IFERROR(INDEX(Расходка[Наименование расходного материала],MATCH(Расходка[[#This Row],[№]],Поиск_расходки[Индекс1],0)),"")</f>
        <v/>
      </c>
      <c r="S69" s="197" t="str">
        <f>IFERROR(INDEX(Расходка[Наименование расходного материала],MATCH(Расходка[[#This Row],[№]],Поиск_расходки[Индекс2],0)),"")</f>
        <v/>
      </c>
      <c r="T69" s="197" t="str">
        <f>IFERROR(INDEX(Расходка[Наименование расходного материала],MATCH(Расходка[[#This Row],[№]],Поиск_расходки[Индекс3],0)),"")</f>
        <v>Telescope ™ II 6F</v>
      </c>
      <c r="U69" s="197" t="str">
        <f>IFERROR(INDEX(Расходка[Наименование расходного материала],MATCH(Расходка[[#This Row],[№]],Поиск_расходки[Индекс4],0)),"")</f>
        <v>Telescope ™ II 6F</v>
      </c>
      <c r="V69" s="197" t="str">
        <f>IFERROR(INDEX(Расходка[Наименование расходного материала],MATCH(Расходка[[#This Row],[№]],Поиск_расходки[Индекс5],0)),"")</f>
        <v>Telescope ™ II 6F</v>
      </c>
      <c r="W69" s="197" t="str">
        <f>IFERROR(INDEX(Расходка[Наименование расходного материала],MATCH(Расходка[[#This Row],[№]],Поиск_расходки[Индекс6],0)),"")</f>
        <v>Telescope ™ II 6F</v>
      </c>
      <c r="X69" s="197" t="str">
        <f>IFERROR(INDEX(Расходка[Наименование расходного материала],MATCH(Расходка[[#This Row],[№]],Поиск_расходки[Индекс7],0)),"")</f>
        <v>Telescope ™ II 6F</v>
      </c>
      <c r="Y69" s="197" t="str">
        <f>IFERROR(INDEX(Расходка[Наименование расходного материала],MATCH(Расходка[[#This Row],[№]],Поиск_расходки[Индекс8],0)),"")</f>
        <v>Telescope ™ II 6F</v>
      </c>
      <c r="Z69" s="197" t="str">
        <f>IFERROR(INDEX(Расходка[Наименование расходного материала],MATCH(Расходка[[#This Row],[№]],Поиск_расходки[Индекс9],0)),"")</f>
        <v>Telescope ™ II 6F</v>
      </c>
      <c r="AA69" s="197" t="str">
        <f>IFERROR(INDEX(Расходка[Наименование расходного материала],MATCH(Расходка[[#This Row],[№]],Поиск_расходки[Индекс10],0)),"")</f>
        <v>Telescope ™ II 6F</v>
      </c>
      <c r="AB69" s="197" t="str">
        <f>IFERROR(INDEX(Расходка[Наименование расходного материала],MATCH(Расходка[[#This Row],[№]],Поиск_расходки[Индекс11],0)),"")</f>
        <v>Telescope ™ II 6F</v>
      </c>
      <c r="AC69" s="197" t="str">
        <f>IFERROR(INDEX(Расходка[Наименование расходного материала],MATCH(Расходка[[#This Row],[№]],Поиск_расходки[Индекс12],0)),"")</f>
        <v>Telescope ™ II 6F</v>
      </c>
      <c r="AD69" s="197" t="str">
        <f>IFERROR(INDEX(Расходка[Наименование расходного материала],MATCH(Расходка[[#This Row],[№]],Поиск_расходки[Индекс13],0)),"")</f>
        <v>Telescope ™ II 6F</v>
      </c>
      <c r="AF69" s="4" t="s">
        <v>6</v>
      </c>
      <c r="AG69" s="4" t="s">
        <v>460</v>
      </c>
    </row>
    <row r="70" spans="1:33">
      <c r="A70">
        <f>ROW(Расходка[[#This Row],[Тип расходного материала ]])-1</f>
        <v>69</v>
      </c>
      <c r="B70" t="s">
        <v>4</v>
      </c>
      <c r="C70" t="s">
        <v>349</v>
      </c>
      <c r="E70" s="196">
        <f>IF(ISNUMBER(SEARCH('Карта учёта'!$B$13,Расходка[[#This Row],[Наименование расходного материала]])),MAX($E$1:E69)+1,0)</f>
        <v>0</v>
      </c>
      <c r="F70" s="196">
        <f>IF(ISNUMBER(SEARCH('Карта учёта'!$B$14,Расходка[[#This Row],[Наименование расходного материала]])),MAX($F$1:F69)+1,0)</f>
        <v>0</v>
      </c>
      <c r="G70" s="196">
        <f>IF(ISNUMBER(SEARCH('Карта учёта'!$B$15,Расходка[[#This Row],[Наименование расходного материала]])),MAX($G$1:G69)+1,0)</f>
        <v>69</v>
      </c>
      <c r="H70" s="196">
        <f>IF(ISNUMBER(SEARCH('Карта учёта'!$B$16,Расходка[[#This Row],[Наименование расходного материала]])),MAX($H$1:H69)+1,0)</f>
        <v>69</v>
      </c>
      <c r="I70" s="196">
        <f>IF(ISNUMBER(SEARCH('Карта учёта'!$B$17,Расходка[[#This Row],[Наименование расходного материала]])),MAX($I$1:I69)+1,0)</f>
        <v>69</v>
      </c>
      <c r="J70" s="196">
        <f>IF(ISNUMBER(SEARCH('Карта учёта'!$B$18,Расходка[[#This Row],[Наименование расходного материала]])),MAX($J$1:J69)+1,0)</f>
        <v>69</v>
      </c>
      <c r="K70" s="196">
        <f>IF(ISNUMBER(SEARCH('Карта учёта'!$B$19,Расходка[[#This Row],[Наименование расходного материала]])),MAX($K$1:K69)+1,0)</f>
        <v>69</v>
      </c>
      <c r="L70" s="196">
        <f>IF(ISNUMBER(SEARCH('Карта учёта'!$B$20,Расходка[[#This Row],[Наименование расходного материала]])),MAX($L$1:L69)+1,0)</f>
        <v>69</v>
      </c>
      <c r="M70" s="196">
        <f>IF(ISNUMBER(SEARCH('Карта учёта'!$B$21,Расходка[[#This Row],[Наименование расходного материала]])),MAX($M$1:M69)+1,0)</f>
        <v>69</v>
      </c>
      <c r="N70" s="196">
        <f>IF(ISNUMBER(SEARCH('Карта учёта'!$B$22,Расходка[[#This Row],[Наименование расходного материала]])),MAX($N$1:N69)+1,0)</f>
        <v>69</v>
      </c>
      <c r="O70" s="196">
        <f>IF(ISNUMBER(SEARCH('Карта учёта'!$B$23,Расходка[[#This Row],[Наименование расходного материала]])),MAX($O$1:O69)+1,0)</f>
        <v>69</v>
      </c>
      <c r="P70" s="196">
        <f>IF(ISNUMBER(SEARCH('Карта учёта'!$B$24,Расходка[[#This Row],[Наименование расходного материала]])),MAX($P$1:P69)+1,0)</f>
        <v>69</v>
      </c>
      <c r="Q70" s="196">
        <f>IF(ISNUMBER(SEARCH('Карта учёта'!$B$25,Расходка[[#This Row],[Наименование расходного материала]])),MAX($Q$1:Q69)+1,0)</f>
        <v>69</v>
      </c>
      <c r="R70" s="197" t="str">
        <f>IFERROR(INDEX(Расходка[Наименование расходного материала],MATCH(Расходка[[#This Row],[№]],Поиск_расходки[Индекс1],0)),"")</f>
        <v/>
      </c>
      <c r="S70" s="197" t="str">
        <f>IFERROR(INDEX(Расходка[Наименование расходного материала],MATCH(Расходка[[#This Row],[№]],Поиск_расходки[Индекс2],0)),"")</f>
        <v/>
      </c>
      <c r="T70" s="197" t="str">
        <f>IFERROR(INDEX(Расходка[Наименование расходного материала],MATCH(Расходка[[#This Row],[№]],Поиск_расходки[Индекс3],0)),"")</f>
        <v>Launcher 6F AL 1</v>
      </c>
      <c r="U70" s="197" t="str">
        <f>IFERROR(INDEX(Расходка[Наименование расходного материала],MATCH(Расходка[[#This Row],[№]],Поиск_расходки[Индекс4],0)),"")</f>
        <v>Launcher 6F AL 1</v>
      </c>
      <c r="V70" s="197" t="str">
        <f>IFERROR(INDEX(Расходка[Наименование расходного материала],MATCH(Расходка[[#This Row],[№]],Поиск_расходки[Индекс5],0)),"")</f>
        <v>Launcher 6F AL 1</v>
      </c>
      <c r="W70" s="197" t="str">
        <f>IFERROR(INDEX(Расходка[Наименование расходного материала],MATCH(Расходка[[#This Row],[№]],Поиск_расходки[Индекс6],0)),"")</f>
        <v>Launcher 6F AL 1</v>
      </c>
      <c r="X70" s="197" t="str">
        <f>IFERROR(INDEX(Расходка[Наименование расходного материала],MATCH(Расходка[[#This Row],[№]],Поиск_расходки[Индекс7],0)),"")</f>
        <v>Launcher 6F AL 1</v>
      </c>
      <c r="Y70" s="197" t="str">
        <f>IFERROR(INDEX(Расходка[Наименование расходного материала],MATCH(Расходка[[#This Row],[№]],Поиск_расходки[Индекс8],0)),"")</f>
        <v>Launcher 6F AL 1</v>
      </c>
      <c r="Z70" s="197" t="str">
        <f>IFERROR(INDEX(Расходка[Наименование расходного материала],MATCH(Расходка[[#This Row],[№]],Поиск_расходки[Индекс9],0)),"")</f>
        <v>Launcher 6F AL 1</v>
      </c>
      <c r="AA70" s="197" t="str">
        <f>IFERROR(INDEX(Расходка[Наименование расходного материала],MATCH(Расходка[[#This Row],[№]],Поиск_расходки[Индекс10],0)),"")</f>
        <v>Launcher 6F AL 1</v>
      </c>
      <c r="AB70" s="197" t="str">
        <f>IFERROR(INDEX(Расходка[Наименование расходного материала],MATCH(Расходка[[#This Row],[№]],Поиск_расходки[Индекс11],0)),"")</f>
        <v>Launcher 6F AL 1</v>
      </c>
      <c r="AC70" s="197" t="str">
        <f>IFERROR(INDEX(Расходка[Наименование расходного материала],MATCH(Расходка[[#This Row],[№]],Поиск_расходки[Индекс12],0)),"")</f>
        <v>Launcher 6F AL 1</v>
      </c>
      <c r="AD70" s="197" t="str">
        <f>IFERROR(INDEX(Расходка[Наименование расходного материала],MATCH(Расходка[[#This Row],[№]],Поиск_расходки[Индекс13],0)),"")</f>
        <v>Launcher 6F AL 1</v>
      </c>
      <c r="AF70" s="4" t="s">
        <v>6</v>
      </c>
      <c r="AG70" s="4" t="s">
        <v>461</v>
      </c>
    </row>
    <row r="71" spans="1:33">
      <c r="A71">
        <f>ROW(Расходка[[#This Row],[Тип расходного материала ]])-1</f>
        <v>70</v>
      </c>
      <c r="B71" t="s">
        <v>4</v>
      </c>
      <c r="C71" t="s">
        <v>350</v>
      </c>
      <c r="E71" s="196">
        <f>IF(ISNUMBER(SEARCH('Карта учёта'!$B$13,Расходка[[#This Row],[Наименование расходного материала]])),MAX($E$1:E70)+1,0)</f>
        <v>0</v>
      </c>
      <c r="F71" s="196">
        <f>IF(ISNUMBER(SEARCH('Карта учёта'!$B$14,Расходка[[#This Row],[Наименование расходного материала]])),MAX($F$1:F70)+1,0)</f>
        <v>0</v>
      </c>
      <c r="G71" s="196">
        <f>IF(ISNUMBER(SEARCH('Карта учёта'!$B$15,Расходка[[#This Row],[Наименование расходного материала]])),MAX($G$1:G70)+1,0)</f>
        <v>70</v>
      </c>
      <c r="H71" s="196">
        <f>IF(ISNUMBER(SEARCH('Карта учёта'!$B$16,Расходка[[#This Row],[Наименование расходного материала]])),MAX($H$1:H70)+1,0)</f>
        <v>70</v>
      </c>
      <c r="I71" s="196">
        <f>IF(ISNUMBER(SEARCH('Карта учёта'!$B$17,Расходка[[#This Row],[Наименование расходного материала]])),MAX($I$1:I70)+1,0)</f>
        <v>70</v>
      </c>
      <c r="J71" s="196">
        <f>IF(ISNUMBER(SEARCH('Карта учёта'!$B$18,Расходка[[#This Row],[Наименование расходного материала]])),MAX($J$1:J70)+1,0)</f>
        <v>70</v>
      </c>
      <c r="K71" s="196">
        <f>IF(ISNUMBER(SEARCH('Карта учёта'!$B$19,Расходка[[#This Row],[Наименование расходного материала]])),MAX($K$1:K70)+1,0)</f>
        <v>70</v>
      </c>
      <c r="L71" s="196">
        <f>IF(ISNUMBER(SEARCH('Карта учёта'!$B$20,Расходка[[#This Row],[Наименование расходного материала]])),MAX($L$1:L70)+1,0)</f>
        <v>70</v>
      </c>
      <c r="M71" s="196">
        <f>IF(ISNUMBER(SEARCH('Карта учёта'!$B$21,Расходка[[#This Row],[Наименование расходного материала]])),MAX($M$1:M70)+1,0)</f>
        <v>70</v>
      </c>
      <c r="N71" s="196">
        <f>IF(ISNUMBER(SEARCH('Карта учёта'!$B$22,Расходка[[#This Row],[Наименование расходного материала]])),MAX($N$1:N70)+1,0)</f>
        <v>70</v>
      </c>
      <c r="O71" s="196">
        <f>IF(ISNUMBER(SEARCH('Карта учёта'!$B$23,Расходка[[#This Row],[Наименование расходного материала]])),MAX($O$1:O70)+1,0)</f>
        <v>70</v>
      </c>
      <c r="P71" s="196">
        <f>IF(ISNUMBER(SEARCH('Карта учёта'!$B$24,Расходка[[#This Row],[Наименование расходного материала]])),MAX($P$1:P70)+1,0)</f>
        <v>70</v>
      </c>
      <c r="Q71" s="196">
        <f>IF(ISNUMBER(SEARCH('Карта учёта'!$B$25,Расходка[[#This Row],[Наименование расходного материала]])),MAX($Q$1:Q70)+1,0)</f>
        <v>70</v>
      </c>
      <c r="R71" s="197" t="str">
        <f>IFERROR(INDEX(Расходка[Наименование расходного материала],MATCH(Расходка[[#This Row],[№]],Поиск_расходки[Индекс1],0)),"")</f>
        <v/>
      </c>
      <c r="S71" s="197" t="str">
        <f>IFERROR(INDEX(Расходка[Наименование расходного материала],MATCH(Расходка[[#This Row],[№]],Поиск_расходки[Индекс2],0)),"")</f>
        <v/>
      </c>
      <c r="T71" s="197" t="str">
        <f>IFERROR(INDEX(Расходка[Наименование расходного материала],MATCH(Расходка[[#This Row],[№]],Поиск_расходки[Индекс3],0)),"")</f>
        <v>Launcher 6F AL 2</v>
      </c>
      <c r="U71" s="197" t="str">
        <f>IFERROR(INDEX(Расходка[Наименование расходного материала],MATCH(Расходка[[#This Row],[№]],Поиск_расходки[Индекс4],0)),"")</f>
        <v>Launcher 6F AL 2</v>
      </c>
      <c r="V71" s="197" t="str">
        <f>IFERROR(INDEX(Расходка[Наименование расходного материала],MATCH(Расходка[[#This Row],[№]],Поиск_расходки[Индекс5],0)),"")</f>
        <v>Launcher 6F AL 2</v>
      </c>
      <c r="W71" s="197" t="str">
        <f>IFERROR(INDEX(Расходка[Наименование расходного материала],MATCH(Расходка[[#This Row],[№]],Поиск_расходки[Индекс6],0)),"")</f>
        <v>Launcher 6F AL 2</v>
      </c>
      <c r="X71" s="197" t="str">
        <f>IFERROR(INDEX(Расходка[Наименование расходного материала],MATCH(Расходка[[#This Row],[№]],Поиск_расходки[Индекс7],0)),"")</f>
        <v>Launcher 6F AL 2</v>
      </c>
      <c r="Y71" s="197" t="str">
        <f>IFERROR(INDEX(Расходка[Наименование расходного материала],MATCH(Расходка[[#This Row],[№]],Поиск_расходки[Индекс8],0)),"")</f>
        <v>Launcher 6F AL 2</v>
      </c>
      <c r="Z71" s="197" t="str">
        <f>IFERROR(INDEX(Расходка[Наименование расходного материала],MATCH(Расходка[[#This Row],[№]],Поиск_расходки[Индекс9],0)),"")</f>
        <v>Launcher 6F AL 2</v>
      </c>
      <c r="AA71" s="197" t="str">
        <f>IFERROR(INDEX(Расходка[Наименование расходного материала],MATCH(Расходка[[#This Row],[№]],Поиск_расходки[Индекс10],0)),"")</f>
        <v>Launcher 6F AL 2</v>
      </c>
      <c r="AB71" s="197" t="str">
        <f>IFERROR(INDEX(Расходка[Наименование расходного материала],MATCH(Расходка[[#This Row],[№]],Поиск_расходки[Индекс11],0)),"")</f>
        <v>Launcher 6F AL 2</v>
      </c>
      <c r="AC71" s="197" t="str">
        <f>IFERROR(INDEX(Расходка[Наименование расходного материала],MATCH(Расходка[[#This Row],[№]],Поиск_расходки[Индекс12],0)),"")</f>
        <v>Launcher 6F AL 2</v>
      </c>
      <c r="AD71" s="197" t="str">
        <f>IFERROR(INDEX(Расходка[Наименование расходного материала],MATCH(Расходка[[#This Row],[№]],Поиск_расходки[Индекс13],0)),"")</f>
        <v>Launcher 6F AL 2</v>
      </c>
      <c r="AF71" s="4" t="s">
        <v>6</v>
      </c>
      <c r="AG71" s="4" t="s">
        <v>416</v>
      </c>
    </row>
    <row r="72" spans="1:33">
      <c r="A72">
        <f>ROW(Расходка[[#This Row],[Тип расходного материала ]])-1</f>
        <v>71</v>
      </c>
      <c r="B72" t="s">
        <v>4</v>
      </c>
      <c r="C72" t="s">
        <v>324</v>
      </c>
      <c r="E72" s="196">
        <f>IF(ISNUMBER(SEARCH('Карта учёта'!$B$13,Расходка[[#This Row],[Наименование расходного материала]])),MAX($E$1:E71)+1,0)</f>
        <v>0</v>
      </c>
      <c r="F72" s="196">
        <f>IF(ISNUMBER(SEARCH('Карта учёта'!$B$14,Расходка[[#This Row],[Наименование расходного материала]])),MAX($F$1:F71)+1,0)</f>
        <v>0</v>
      </c>
      <c r="G72" s="196">
        <f>IF(ISNUMBER(SEARCH('Карта учёта'!$B$15,Расходка[[#This Row],[Наименование расходного материала]])),MAX($G$1:G71)+1,0)</f>
        <v>71</v>
      </c>
      <c r="H72" s="196">
        <f>IF(ISNUMBER(SEARCH('Карта учёта'!$B$16,Расходка[[#This Row],[Наименование расходного материала]])),MAX($H$1:H71)+1,0)</f>
        <v>71</v>
      </c>
      <c r="I72" s="196">
        <f>IF(ISNUMBER(SEARCH('Карта учёта'!$B$17,Расходка[[#This Row],[Наименование расходного материала]])),MAX($I$1:I71)+1,0)</f>
        <v>71</v>
      </c>
      <c r="J72" s="196">
        <f>IF(ISNUMBER(SEARCH('Карта учёта'!$B$18,Расходка[[#This Row],[Наименование расходного материала]])),MAX($J$1:J71)+1,0)</f>
        <v>71</v>
      </c>
      <c r="K72" s="196">
        <f>IF(ISNUMBER(SEARCH('Карта учёта'!$B$19,Расходка[[#This Row],[Наименование расходного материала]])),MAX($K$1:K71)+1,0)</f>
        <v>71</v>
      </c>
      <c r="L72" s="196">
        <f>IF(ISNUMBER(SEARCH('Карта учёта'!$B$20,Расходка[[#This Row],[Наименование расходного материала]])),MAX($L$1:L71)+1,0)</f>
        <v>71</v>
      </c>
      <c r="M72" s="196">
        <f>IF(ISNUMBER(SEARCH('Карта учёта'!$B$21,Расходка[[#This Row],[Наименование расходного материала]])),MAX($M$1:M71)+1,0)</f>
        <v>71</v>
      </c>
      <c r="N72" s="196">
        <f>IF(ISNUMBER(SEARCH('Карта учёта'!$B$22,Расходка[[#This Row],[Наименование расходного материала]])),MAX($N$1:N71)+1,0)</f>
        <v>71</v>
      </c>
      <c r="O72" s="196">
        <f>IF(ISNUMBER(SEARCH('Карта учёта'!$B$23,Расходка[[#This Row],[Наименование расходного материала]])),MAX($O$1:O71)+1,0)</f>
        <v>71</v>
      </c>
      <c r="P72" s="196">
        <f>IF(ISNUMBER(SEARCH('Карта учёта'!$B$24,Расходка[[#This Row],[Наименование расходного материала]])),MAX($P$1:P71)+1,0)</f>
        <v>71</v>
      </c>
      <c r="Q72" s="196">
        <f>IF(ISNUMBER(SEARCH('Карта учёта'!$B$25,Расходка[[#This Row],[Наименование расходного материала]])),MAX($Q$1:Q71)+1,0)</f>
        <v>71</v>
      </c>
      <c r="R72" s="197" t="str">
        <f>IFERROR(INDEX(Расходка[Наименование расходного материала],MATCH(Расходка[[#This Row],[№]],Поиск_расходки[Индекс1],0)),"")</f>
        <v/>
      </c>
      <c r="S72" s="197" t="str">
        <f>IFERROR(INDEX(Расходка[Наименование расходного материала],MATCH(Расходка[[#This Row],[№]],Поиск_расходки[Индекс2],0)),"")</f>
        <v/>
      </c>
      <c r="T72" s="197" t="str">
        <f>IFERROR(INDEX(Расходка[Наименование расходного материала],MATCH(Расходка[[#This Row],[№]],Поиск_расходки[Индекс3],0)),"")</f>
        <v>Launcher 6F EBU 3.5</v>
      </c>
      <c r="U72" s="197" t="str">
        <f>IFERROR(INDEX(Расходка[Наименование расходного материала],MATCH(Расходка[[#This Row],[№]],Поиск_расходки[Индекс4],0)),"")</f>
        <v>Launcher 6F EBU 3.5</v>
      </c>
      <c r="V72" s="197" t="str">
        <f>IFERROR(INDEX(Расходка[Наименование расходного материала],MATCH(Расходка[[#This Row],[№]],Поиск_расходки[Индекс5],0)),"")</f>
        <v>Launcher 6F EBU 3.5</v>
      </c>
      <c r="W72" s="197" t="str">
        <f>IFERROR(INDEX(Расходка[Наименование расходного материала],MATCH(Расходка[[#This Row],[№]],Поиск_расходки[Индекс6],0)),"")</f>
        <v>Launcher 6F EBU 3.5</v>
      </c>
      <c r="X72" s="197" t="str">
        <f>IFERROR(INDEX(Расходка[Наименование расходного материала],MATCH(Расходка[[#This Row],[№]],Поиск_расходки[Индекс7],0)),"")</f>
        <v>Launcher 6F EBU 3.5</v>
      </c>
      <c r="Y72" s="197" t="str">
        <f>IFERROR(INDEX(Расходка[Наименование расходного материала],MATCH(Расходка[[#This Row],[№]],Поиск_расходки[Индекс8],0)),"")</f>
        <v>Launcher 6F EBU 3.5</v>
      </c>
      <c r="Z72" s="197" t="str">
        <f>IFERROR(INDEX(Расходка[Наименование расходного материала],MATCH(Расходка[[#This Row],[№]],Поиск_расходки[Индекс9],0)),"")</f>
        <v>Launcher 6F EBU 3.5</v>
      </c>
      <c r="AA72" s="197" t="str">
        <f>IFERROR(INDEX(Расходка[Наименование расходного материала],MATCH(Расходка[[#This Row],[№]],Поиск_расходки[Индекс10],0)),"")</f>
        <v>Launcher 6F EBU 3.5</v>
      </c>
      <c r="AB72" s="197" t="str">
        <f>IFERROR(INDEX(Расходка[Наименование расходного материала],MATCH(Расходка[[#This Row],[№]],Поиск_расходки[Индекс11],0)),"")</f>
        <v>Launcher 6F EBU 3.5</v>
      </c>
      <c r="AC72" s="197" t="str">
        <f>IFERROR(INDEX(Расходка[Наименование расходного материала],MATCH(Расходка[[#This Row],[№]],Поиск_расходки[Индекс12],0)),"")</f>
        <v>Launcher 6F EBU 3.5</v>
      </c>
      <c r="AD72" s="197" t="str">
        <f>IFERROR(INDEX(Расходка[Наименование расходного материала],MATCH(Расходка[[#This Row],[№]],Поиск_расходки[Индекс13],0)),"")</f>
        <v>Launcher 6F EBU 3.5</v>
      </c>
      <c r="AF72" s="4" t="s">
        <v>6</v>
      </c>
      <c r="AG72" s="4" t="s">
        <v>462</v>
      </c>
    </row>
    <row r="73" spans="1:33">
      <c r="A73">
        <f>ROW(Расходка[[#This Row],[Тип расходного материала ]])-1</f>
        <v>72</v>
      </c>
      <c r="B73" t="s">
        <v>4</v>
      </c>
      <c r="C73" t="s">
        <v>325</v>
      </c>
      <c r="E73" s="196">
        <f>IF(ISNUMBER(SEARCH('Карта учёта'!$B$13,Расходка[[#This Row],[Наименование расходного материала]])),MAX($E$1:E72)+1,0)</f>
        <v>1</v>
      </c>
      <c r="F73" s="196">
        <f>IF(ISNUMBER(SEARCH('Карта учёта'!$B$14,Расходка[[#This Row],[Наименование расходного материала]])),MAX($F$1:F72)+1,0)</f>
        <v>0</v>
      </c>
      <c r="G73" s="196">
        <f>IF(ISNUMBER(SEARCH('Карта учёта'!$B$15,Расходка[[#This Row],[Наименование расходного материала]])),MAX($G$1:G72)+1,0)</f>
        <v>72</v>
      </c>
      <c r="H73" s="196">
        <f>IF(ISNUMBER(SEARCH('Карта учёта'!$B$16,Расходка[[#This Row],[Наименование расходного материала]])),MAX($H$1:H72)+1,0)</f>
        <v>72</v>
      </c>
      <c r="I73" s="196">
        <f>IF(ISNUMBER(SEARCH('Карта учёта'!$B$17,Расходка[[#This Row],[Наименование расходного материала]])),MAX($I$1:I72)+1,0)</f>
        <v>72</v>
      </c>
      <c r="J73" s="196">
        <f>IF(ISNUMBER(SEARCH('Карта учёта'!$B$18,Расходка[[#This Row],[Наименование расходного материала]])),MAX($J$1:J72)+1,0)</f>
        <v>72</v>
      </c>
      <c r="K73" s="196">
        <f>IF(ISNUMBER(SEARCH('Карта учёта'!$B$19,Расходка[[#This Row],[Наименование расходного материала]])),MAX($K$1:K72)+1,0)</f>
        <v>72</v>
      </c>
      <c r="L73" s="196">
        <f>IF(ISNUMBER(SEARCH('Карта учёта'!$B$20,Расходка[[#This Row],[Наименование расходного материала]])),MAX($L$1:L72)+1,0)</f>
        <v>72</v>
      </c>
      <c r="M73" s="196">
        <f>IF(ISNUMBER(SEARCH('Карта учёта'!$B$21,Расходка[[#This Row],[Наименование расходного материала]])),MAX($M$1:M72)+1,0)</f>
        <v>72</v>
      </c>
      <c r="N73" s="196">
        <f>IF(ISNUMBER(SEARCH('Карта учёта'!$B$22,Расходка[[#This Row],[Наименование расходного материала]])),MAX($N$1:N72)+1,0)</f>
        <v>72</v>
      </c>
      <c r="O73" s="196">
        <f>IF(ISNUMBER(SEARCH('Карта учёта'!$B$23,Расходка[[#This Row],[Наименование расходного материала]])),MAX($O$1:O72)+1,0)</f>
        <v>72</v>
      </c>
      <c r="P73" s="196">
        <f>IF(ISNUMBER(SEARCH('Карта учёта'!$B$24,Расходка[[#This Row],[Наименование расходного материала]])),MAX($P$1:P72)+1,0)</f>
        <v>72</v>
      </c>
      <c r="Q73" s="196">
        <f>IF(ISNUMBER(SEARCH('Карта учёта'!$B$25,Расходка[[#This Row],[Наименование расходного материала]])),MAX($Q$1:Q72)+1,0)</f>
        <v>72</v>
      </c>
      <c r="R73" s="197" t="str">
        <f>IFERROR(INDEX(Расходка[Наименование расходного материала],MATCH(Расходка[[#This Row],[№]],Поиск_расходки[Индекс1],0)),"")</f>
        <v/>
      </c>
      <c r="S73" s="197" t="str">
        <f>IFERROR(INDEX(Расходка[Наименование расходного материала],MATCH(Расходка[[#This Row],[№]],Поиск_расходки[Индекс2],0)),"")</f>
        <v/>
      </c>
      <c r="T73" s="197" t="str">
        <f>IFERROR(INDEX(Расходка[Наименование расходного материала],MATCH(Расходка[[#This Row],[№]],Поиск_расходки[Индекс3],0)),"")</f>
        <v>Launcher 6F EBU 4.0</v>
      </c>
      <c r="U73" s="197" t="str">
        <f>IFERROR(INDEX(Расходка[Наименование расходного материала],MATCH(Расходка[[#This Row],[№]],Поиск_расходки[Индекс4],0)),"")</f>
        <v>Launcher 6F EBU 4.0</v>
      </c>
      <c r="V73" s="197" t="str">
        <f>IFERROR(INDEX(Расходка[Наименование расходного материала],MATCH(Расходка[[#This Row],[№]],Поиск_расходки[Индекс5],0)),"")</f>
        <v>Launcher 6F EBU 4.0</v>
      </c>
      <c r="W73" s="197" t="str">
        <f>IFERROR(INDEX(Расходка[Наименование расходного материала],MATCH(Расходка[[#This Row],[№]],Поиск_расходки[Индекс6],0)),"")</f>
        <v>Launcher 6F EBU 4.0</v>
      </c>
      <c r="X73" s="197" t="str">
        <f>IFERROR(INDEX(Расходка[Наименование расходного материала],MATCH(Расходка[[#This Row],[№]],Поиск_расходки[Индекс7],0)),"")</f>
        <v>Launcher 6F EBU 4.0</v>
      </c>
      <c r="Y73" s="197" t="str">
        <f>IFERROR(INDEX(Расходка[Наименование расходного материала],MATCH(Расходка[[#This Row],[№]],Поиск_расходки[Индекс8],0)),"")</f>
        <v>Launcher 6F EBU 4.0</v>
      </c>
      <c r="Z73" s="197" t="str">
        <f>IFERROR(INDEX(Расходка[Наименование расходного материала],MATCH(Расходка[[#This Row],[№]],Поиск_расходки[Индекс9],0)),"")</f>
        <v>Launcher 6F EBU 4.0</v>
      </c>
      <c r="AA73" s="197" t="str">
        <f>IFERROR(INDEX(Расходка[Наименование расходного материала],MATCH(Расходка[[#This Row],[№]],Поиск_расходки[Индекс10],0)),"")</f>
        <v>Launcher 6F EBU 4.0</v>
      </c>
      <c r="AB73" s="197" t="str">
        <f>IFERROR(INDEX(Расходка[Наименование расходного материала],MATCH(Расходка[[#This Row],[№]],Поиск_расходки[Индекс11],0)),"")</f>
        <v>Launcher 6F EBU 4.0</v>
      </c>
      <c r="AC73" s="197" t="str">
        <f>IFERROR(INDEX(Расходка[Наименование расходного материала],MATCH(Расходка[[#This Row],[№]],Поиск_расходки[Индекс12],0)),"")</f>
        <v>Launcher 6F EBU 4.0</v>
      </c>
      <c r="AD73" s="197" t="str">
        <f>IFERROR(INDEX(Расходка[Наименование расходного материала],MATCH(Расходка[[#This Row],[№]],Поиск_расходки[Индекс13],0)),"")</f>
        <v>Launcher 6F EBU 4.0</v>
      </c>
      <c r="AF73" s="4" t="s">
        <v>6</v>
      </c>
      <c r="AG73" s="4" t="s">
        <v>417</v>
      </c>
    </row>
    <row r="74" spans="1:33">
      <c r="A74">
        <f>ROW(Расходка[[#This Row],[Тип расходного материала ]])-1</f>
        <v>73</v>
      </c>
      <c r="B74" t="s">
        <v>4</v>
      </c>
      <c r="C74" t="s">
        <v>326</v>
      </c>
      <c r="E74" s="196">
        <f>IF(ISNUMBER(SEARCH('Карта учёта'!$B$13,Расходка[[#This Row],[Наименование расходного материала]])),MAX($E$1:E73)+1,0)</f>
        <v>0</v>
      </c>
      <c r="F74" s="196">
        <f>IF(ISNUMBER(SEARCH('Карта учёта'!$B$14,Расходка[[#This Row],[Наименование расходного материала]])),MAX($F$1:F73)+1,0)</f>
        <v>0</v>
      </c>
      <c r="G74" s="196">
        <f>IF(ISNUMBER(SEARCH('Карта учёта'!$B$15,Расходка[[#This Row],[Наименование расходного материала]])),MAX($G$1:G73)+1,0)</f>
        <v>73</v>
      </c>
      <c r="H74" s="196">
        <f>IF(ISNUMBER(SEARCH('Карта учёта'!$B$16,Расходка[[#This Row],[Наименование расходного материала]])),MAX($H$1:H73)+1,0)</f>
        <v>73</v>
      </c>
      <c r="I74" s="196">
        <f>IF(ISNUMBER(SEARCH('Карта учёта'!$B$17,Расходка[[#This Row],[Наименование расходного материала]])),MAX($I$1:I73)+1,0)</f>
        <v>73</v>
      </c>
      <c r="J74" s="196">
        <f>IF(ISNUMBER(SEARCH('Карта учёта'!$B$18,Расходка[[#This Row],[Наименование расходного материала]])),MAX($J$1:J73)+1,0)</f>
        <v>73</v>
      </c>
      <c r="K74" s="196">
        <f>IF(ISNUMBER(SEARCH('Карта учёта'!$B$19,Расходка[[#This Row],[Наименование расходного материала]])),MAX($K$1:K73)+1,0)</f>
        <v>73</v>
      </c>
      <c r="L74" s="196">
        <f>IF(ISNUMBER(SEARCH('Карта учёта'!$B$20,Расходка[[#This Row],[Наименование расходного материала]])),MAX($L$1:L73)+1,0)</f>
        <v>73</v>
      </c>
      <c r="M74" s="196">
        <f>IF(ISNUMBER(SEARCH('Карта учёта'!$B$21,Расходка[[#This Row],[Наименование расходного материала]])),MAX($M$1:M73)+1,0)</f>
        <v>73</v>
      </c>
      <c r="N74" s="196">
        <f>IF(ISNUMBER(SEARCH('Карта учёта'!$B$22,Расходка[[#This Row],[Наименование расходного материала]])),MAX($N$1:N73)+1,0)</f>
        <v>73</v>
      </c>
      <c r="O74" s="196">
        <f>IF(ISNUMBER(SEARCH('Карта учёта'!$B$23,Расходка[[#This Row],[Наименование расходного материала]])),MAX($O$1:O73)+1,0)</f>
        <v>73</v>
      </c>
      <c r="P74" s="196">
        <f>IF(ISNUMBER(SEARCH('Карта учёта'!$B$24,Расходка[[#This Row],[Наименование расходного материала]])),MAX($P$1:P73)+1,0)</f>
        <v>73</v>
      </c>
      <c r="Q74" s="196">
        <f>IF(ISNUMBER(SEARCH('Карта учёта'!$B$25,Расходка[[#This Row],[Наименование расходного материала]])),MAX($Q$1:Q73)+1,0)</f>
        <v>73</v>
      </c>
      <c r="R74" s="197" t="str">
        <f>IFERROR(INDEX(Расходка[Наименование расходного материала],MATCH(Расходка[[#This Row],[№]],Поиск_расходки[Индекс1],0)),"")</f>
        <v/>
      </c>
      <c r="S74" s="197" t="str">
        <f>IFERROR(INDEX(Расходка[Наименование расходного материала],MATCH(Расходка[[#This Row],[№]],Поиск_расходки[Индекс2],0)),"")</f>
        <v/>
      </c>
      <c r="T74" s="197" t="str">
        <f>IFERROR(INDEX(Расходка[Наименование расходного материала],MATCH(Расходка[[#This Row],[№]],Поиск_расходки[Индекс3],0)),"")</f>
        <v>Launcher 6F JL 3.5</v>
      </c>
      <c r="U74" s="197" t="str">
        <f>IFERROR(INDEX(Расходка[Наименование расходного материала],MATCH(Расходка[[#This Row],[№]],Поиск_расходки[Индекс4],0)),"")</f>
        <v>Launcher 6F JL 3.5</v>
      </c>
      <c r="V74" s="197" t="str">
        <f>IFERROR(INDEX(Расходка[Наименование расходного материала],MATCH(Расходка[[#This Row],[№]],Поиск_расходки[Индекс5],0)),"")</f>
        <v>Launcher 6F JL 3.5</v>
      </c>
      <c r="W74" s="197" t="str">
        <f>IFERROR(INDEX(Расходка[Наименование расходного материала],MATCH(Расходка[[#This Row],[№]],Поиск_расходки[Индекс6],0)),"")</f>
        <v>Launcher 6F JL 3.5</v>
      </c>
      <c r="X74" s="197" t="str">
        <f>IFERROR(INDEX(Расходка[Наименование расходного материала],MATCH(Расходка[[#This Row],[№]],Поиск_расходки[Индекс7],0)),"")</f>
        <v>Launcher 6F JL 3.5</v>
      </c>
      <c r="Y74" s="197" t="str">
        <f>IFERROR(INDEX(Расходка[Наименование расходного материала],MATCH(Расходка[[#This Row],[№]],Поиск_расходки[Индекс8],0)),"")</f>
        <v>Launcher 6F JL 3.5</v>
      </c>
      <c r="Z74" s="197" t="str">
        <f>IFERROR(INDEX(Расходка[Наименование расходного материала],MATCH(Расходка[[#This Row],[№]],Поиск_расходки[Индекс9],0)),"")</f>
        <v>Launcher 6F JL 3.5</v>
      </c>
      <c r="AA74" s="197" t="str">
        <f>IFERROR(INDEX(Расходка[Наименование расходного материала],MATCH(Расходка[[#This Row],[№]],Поиск_расходки[Индекс10],0)),"")</f>
        <v>Launcher 6F JL 3.5</v>
      </c>
      <c r="AB74" s="197" t="str">
        <f>IFERROR(INDEX(Расходка[Наименование расходного материала],MATCH(Расходка[[#This Row],[№]],Поиск_расходки[Индекс11],0)),"")</f>
        <v>Launcher 6F JL 3.5</v>
      </c>
      <c r="AC74" s="197" t="str">
        <f>IFERROR(INDEX(Расходка[Наименование расходного материала],MATCH(Расходка[[#This Row],[№]],Поиск_расходки[Индекс12],0)),"")</f>
        <v>Launcher 6F JL 3.5</v>
      </c>
      <c r="AD74" s="197" t="str">
        <f>IFERROR(INDEX(Расходка[Наименование расходного материала],MATCH(Расходка[[#This Row],[№]],Поиск_расходки[Индекс13],0)),"")</f>
        <v>Launcher 6F JL 3.5</v>
      </c>
      <c r="AF74" s="4" t="s">
        <v>6</v>
      </c>
      <c r="AG74" s="4" t="s">
        <v>463</v>
      </c>
    </row>
    <row r="75" spans="1:33">
      <c r="A75">
        <f>ROW(Расходка[[#This Row],[Тип расходного материала ]])-1</f>
        <v>74</v>
      </c>
      <c r="B75" t="s">
        <v>4</v>
      </c>
      <c r="C75" t="s">
        <v>327</v>
      </c>
      <c r="E75" s="196">
        <f>IF(ISNUMBER(SEARCH('Карта учёта'!$B$13,Расходка[[#This Row],[Наименование расходного материала]])),MAX($E$1:E74)+1,0)</f>
        <v>0</v>
      </c>
      <c r="F75" s="196">
        <f>IF(ISNUMBER(SEARCH('Карта учёта'!$B$14,Расходка[[#This Row],[Наименование расходного материала]])),MAX($F$1:F74)+1,0)</f>
        <v>0</v>
      </c>
      <c r="G75" s="196">
        <f>IF(ISNUMBER(SEARCH('Карта учёта'!$B$15,Расходка[[#This Row],[Наименование расходного материала]])),MAX($G$1:G74)+1,0)</f>
        <v>74</v>
      </c>
      <c r="H75" s="196">
        <f>IF(ISNUMBER(SEARCH('Карта учёта'!$B$16,Расходка[[#This Row],[Наименование расходного материала]])),MAX($H$1:H74)+1,0)</f>
        <v>74</v>
      </c>
      <c r="I75" s="196">
        <f>IF(ISNUMBER(SEARCH('Карта учёта'!$B$17,Расходка[[#This Row],[Наименование расходного материала]])),MAX($I$1:I74)+1,0)</f>
        <v>74</v>
      </c>
      <c r="J75" s="196">
        <f>IF(ISNUMBER(SEARCH('Карта учёта'!$B$18,Расходка[[#This Row],[Наименование расходного материала]])),MAX($J$1:J74)+1,0)</f>
        <v>74</v>
      </c>
      <c r="K75" s="196">
        <f>IF(ISNUMBER(SEARCH('Карта учёта'!$B$19,Расходка[[#This Row],[Наименование расходного материала]])),MAX($K$1:K74)+1,0)</f>
        <v>74</v>
      </c>
      <c r="L75" s="196">
        <f>IF(ISNUMBER(SEARCH('Карта учёта'!$B$20,Расходка[[#This Row],[Наименование расходного материала]])),MAX($L$1:L74)+1,0)</f>
        <v>74</v>
      </c>
      <c r="M75" s="196">
        <f>IF(ISNUMBER(SEARCH('Карта учёта'!$B$21,Расходка[[#This Row],[Наименование расходного материала]])),MAX($M$1:M74)+1,0)</f>
        <v>74</v>
      </c>
      <c r="N75" s="196">
        <f>IF(ISNUMBER(SEARCH('Карта учёта'!$B$22,Расходка[[#This Row],[Наименование расходного материала]])),MAX($N$1:N74)+1,0)</f>
        <v>74</v>
      </c>
      <c r="O75" s="196">
        <f>IF(ISNUMBER(SEARCH('Карта учёта'!$B$23,Расходка[[#This Row],[Наименование расходного материала]])),MAX($O$1:O74)+1,0)</f>
        <v>74</v>
      </c>
      <c r="P75" s="196">
        <f>IF(ISNUMBER(SEARCH('Карта учёта'!$B$24,Расходка[[#This Row],[Наименование расходного материала]])),MAX($P$1:P74)+1,0)</f>
        <v>74</v>
      </c>
      <c r="Q75" s="196">
        <f>IF(ISNUMBER(SEARCH('Карта учёта'!$B$25,Расходка[[#This Row],[Наименование расходного материала]])),MAX($Q$1:Q74)+1,0)</f>
        <v>74</v>
      </c>
      <c r="R75" s="197" t="str">
        <f>IFERROR(INDEX(Расходка[Наименование расходного материала],MATCH(Расходка[[#This Row],[№]],Поиск_расходки[Индекс1],0)),"")</f>
        <v/>
      </c>
      <c r="S75" s="197" t="str">
        <f>IFERROR(INDEX(Расходка[Наименование расходного материала],MATCH(Расходка[[#This Row],[№]],Поиск_расходки[Индекс2],0)),"")</f>
        <v/>
      </c>
      <c r="T75" s="197" t="str">
        <f>IFERROR(INDEX(Расходка[Наименование расходного материала],MATCH(Расходка[[#This Row],[№]],Поиск_расходки[Индекс3],0)),"")</f>
        <v>Launcher 6F JL 4.0</v>
      </c>
      <c r="U75" s="197" t="str">
        <f>IFERROR(INDEX(Расходка[Наименование расходного материала],MATCH(Расходка[[#This Row],[№]],Поиск_расходки[Индекс4],0)),"")</f>
        <v>Launcher 6F JL 4.0</v>
      </c>
      <c r="V75" s="197" t="str">
        <f>IFERROR(INDEX(Расходка[Наименование расходного материала],MATCH(Расходка[[#This Row],[№]],Поиск_расходки[Индекс5],0)),"")</f>
        <v>Launcher 6F JL 4.0</v>
      </c>
      <c r="W75" s="197" t="str">
        <f>IFERROR(INDEX(Расходка[Наименование расходного материала],MATCH(Расходка[[#This Row],[№]],Поиск_расходки[Индекс6],0)),"")</f>
        <v>Launcher 6F JL 4.0</v>
      </c>
      <c r="X75" s="197" t="str">
        <f>IFERROR(INDEX(Расходка[Наименование расходного материала],MATCH(Расходка[[#This Row],[№]],Поиск_расходки[Индекс7],0)),"")</f>
        <v>Launcher 6F JL 4.0</v>
      </c>
      <c r="Y75" s="197" t="str">
        <f>IFERROR(INDEX(Расходка[Наименование расходного материала],MATCH(Расходка[[#This Row],[№]],Поиск_расходки[Индекс8],0)),"")</f>
        <v>Launcher 6F JL 4.0</v>
      </c>
      <c r="Z75" s="197" t="str">
        <f>IFERROR(INDEX(Расходка[Наименование расходного материала],MATCH(Расходка[[#This Row],[№]],Поиск_расходки[Индекс9],0)),"")</f>
        <v>Launcher 6F JL 4.0</v>
      </c>
      <c r="AA75" s="197" t="str">
        <f>IFERROR(INDEX(Расходка[Наименование расходного материала],MATCH(Расходка[[#This Row],[№]],Поиск_расходки[Индекс10],0)),"")</f>
        <v>Launcher 6F JL 4.0</v>
      </c>
      <c r="AB75" s="197" t="str">
        <f>IFERROR(INDEX(Расходка[Наименование расходного материала],MATCH(Расходка[[#This Row],[№]],Поиск_расходки[Индекс11],0)),"")</f>
        <v>Launcher 6F JL 4.0</v>
      </c>
      <c r="AC75" s="197" t="str">
        <f>IFERROR(INDEX(Расходка[Наименование расходного материала],MATCH(Расходка[[#This Row],[№]],Поиск_расходки[Индекс12],0)),"")</f>
        <v>Launcher 6F JL 4.0</v>
      </c>
      <c r="AD75" s="197" t="str">
        <f>IFERROR(INDEX(Расходка[Наименование расходного материала],MATCH(Расходка[[#This Row],[№]],Поиск_расходки[Индекс13],0)),"")</f>
        <v>Launcher 6F JL 4.0</v>
      </c>
      <c r="AF75" s="4" t="s">
        <v>6</v>
      </c>
      <c r="AG75" s="4" t="s">
        <v>464</v>
      </c>
    </row>
    <row r="76" spans="1:33">
      <c r="A76">
        <f>ROW(Расходка[[#This Row],[Тип расходного материала ]])-1</f>
        <v>75</v>
      </c>
      <c r="B76" t="s">
        <v>4</v>
      </c>
      <c r="C76" t="s">
        <v>333</v>
      </c>
      <c r="E76" s="196">
        <f>IF(ISNUMBER(SEARCH('Карта учёта'!$B$13,Расходка[[#This Row],[Наименование расходного материала]])),MAX($E$1:E75)+1,0)</f>
        <v>0</v>
      </c>
      <c r="F76" s="196">
        <f>IF(ISNUMBER(SEARCH('Карта учёта'!$B$14,Расходка[[#This Row],[Наименование расходного материала]])),MAX($F$1:F75)+1,0)</f>
        <v>0</v>
      </c>
      <c r="G76" s="196">
        <f>IF(ISNUMBER(SEARCH('Карта учёта'!$B$15,Расходка[[#This Row],[Наименование расходного материала]])),MAX($G$1:G75)+1,0)</f>
        <v>75</v>
      </c>
      <c r="H76" s="196">
        <f>IF(ISNUMBER(SEARCH('Карта учёта'!$B$16,Расходка[[#This Row],[Наименование расходного материала]])),MAX($H$1:H75)+1,0)</f>
        <v>75</v>
      </c>
      <c r="I76" s="196">
        <f>IF(ISNUMBER(SEARCH('Карта учёта'!$B$17,Расходка[[#This Row],[Наименование расходного материала]])),MAX($I$1:I75)+1,0)</f>
        <v>75</v>
      </c>
      <c r="J76" s="196">
        <f>IF(ISNUMBER(SEARCH('Карта учёта'!$B$18,Расходка[[#This Row],[Наименование расходного материала]])),MAX($J$1:J75)+1,0)</f>
        <v>75</v>
      </c>
      <c r="K76" s="196">
        <f>IF(ISNUMBER(SEARCH('Карта учёта'!$B$19,Расходка[[#This Row],[Наименование расходного материала]])),MAX($K$1:K75)+1,0)</f>
        <v>75</v>
      </c>
      <c r="L76" s="196">
        <f>IF(ISNUMBER(SEARCH('Карта учёта'!$B$20,Расходка[[#This Row],[Наименование расходного материала]])),MAX($L$1:L75)+1,0)</f>
        <v>75</v>
      </c>
      <c r="M76" s="196">
        <f>IF(ISNUMBER(SEARCH('Карта учёта'!$B$21,Расходка[[#This Row],[Наименование расходного материала]])),MAX($M$1:M75)+1,0)</f>
        <v>75</v>
      </c>
      <c r="N76" s="196">
        <f>IF(ISNUMBER(SEARCH('Карта учёта'!$B$22,Расходка[[#This Row],[Наименование расходного материала]])),MAX($N$1:N75)+1,0)</f>
        <v>75</v>
      </c>
      <c r="O76" s="196">
        <f>IF(ISNUMBER(SEARCH('Карта учёта'!$B$23,Расходка[[#This Row],[Наименование расходного материала]])),MAX($O$1:O75)+1,0)</f>
        <v>75</v>
      </c>
      <c r="P76" s="196">
        <f>IF(ISNUMBER(SEARCH('Карта учёта'!$B$24,Расходка[[#This Row],[Наименование расходного материала]])),MAX($P$1:P75)+1,0)</f>
        <v>75</v>
      </c>
      <c r="Q76" s="196">
        <f>IF(ISNUMBER(SEARCH('Карта учёта'!$B$25,Расходка[[#This Row],[Наименование расходного материала]])),MAX($Q$1:Q75)+1,0)</f>
        <v>75</v>
      </c>
      <c r="R76" s="197" t="str">
        <f>IFERROR(INDEX(Расходка[Наименование расходного материала],MATCH(Расходка[[#This Row],[№]],Поиск_расходки[Индекс1],0)),"")</f>
        <v/>
      </c>
      <c r="S76" s="197" t="str">
        <f>IFERROR(INDEX(Расходка[Наименование расходного материала],MATCH(Расходка[[#This Row],[№]],Поиск_расходки[Индекс2],0)),"")</f>
        <v/>
      </c>
      <c r="T76" s="197" t="str">
        <f>IFERROR(INDEX(Расходка[Наименование расходного материала],MATCH(Расходка[[#This Row],[№]],Поиск_расходки[Индекс3],0)),"")</f>
        <v>Launcher 6F JL 4.5</v>
      </c>
      <c r="U76" s="197" t="str">
        <f>IFERROR(INDEX(Расходка[Наименование расходного материала],MATCH(Расходка[[#This Row],[№]],Поиск_расходки[Индекс4],0)),"")</f>
        <v>Launcher 6F JL 4.5</v>
      </c>
      <c r="V76" s="197" t="str">
        <f>IFERROR(INDEX(Расходка[Наименование расходного материала],MATCH(Расходка[[#This Row],[№]],Поиск_расходки[Индекс5],0)),"")</f>
        <v>Launcher 6F JL 4.5</v>
      </c>
      <c r="W76" s="197" t="str">
        <f>IFERROR(INDEX(Расходка[Наименование расходного материала],MATCH(Расходка[[#This Row],[№]],Поиск_расходки[Индекс6],0)),"")</f>
        <v>Launcher 6F JL 4.5</v>
      </c>
      <c r="X76" s="197" t="str">
        <f>IFERROR(INDEX(Расходка[Наименование расходного материала],MATCH(Расходка[[#This Row],[№]],Поиск_расходки[Индекс7],0)),"")</f>
        <v>Launcher 6F JL 4.5</v>
      </c>
      <c r="Y76" s="197" t="str">
        <f>IFERROR(INDEX(Расходка[Наименование расходного материала],MATCH(Расходка[[#This Row],[№]],Поиск_расходки[Индекс8],0)),"")</f>
        <v>Launcher 6F JL 4.5</v>
      </c>
      <c r="Z76" s="197" t="str">
        <f>IFERROR(INDEX(Расходка[Наименование расходного материала],MATCH(Расходка[[#This Row],[№]],Поиск_расходки[Индекс9],0)),"")</f>
        <v>Launcher 6F JL 4.5</v>
      </c>
      <c r="AA76" s="197" t="str">
        <f>IFERROR(INDEX(Расходка[Наименование расходного материала],MATCH(Расходка[[#This Row],[№]],Поиск_расходки[Индекс10],0)),"")</f>
        <v>Launcher 6F JL 4.5</v>
      </c>
      <c r="AB76" s="197" t="str">
        <f>IFERROR(INDEX(Расходка[Наименование расходного материала],MATCH(Расходка[[#This Row],[№]],Поиск_расходки[Индекс11],0)),"")</f>
        <v>Launcher 6F JL 4.5</v>
      </c>
      <c r="AC76" s="197" t="str">
        <f>IFERROR(INDEX(Расходка[Наименование расходного материала],MATCH(Расходка[[#This Row],[№]],Поиск_расходки[Индекс12],0)),"")</f>
        <v>Launcher 6F JL 4.5</v>
      </c>
      <c r="AD76" s="197" t="str">
        <f>IFERROR(INDEX(Расходка[Наименование расходного материала],MATCH(Расходка[[#This Row],[№]],Поиск_расходки[Индекс13],0)),"")</f>
        <v>Launcher 6F JL 4.5</v>
      </c>
      <c r="AF76" s="4" t="s">
        <v>6</v>
      </c>
      <c r="AG76" s="4" t="s">
        <v>465</v>
      </c>
    </row>
    <row r="77" spans="1:33">
      <c r="A77">
        <f>ROW(Расходка[[#This Row],[Тип расходного материала ]])-1</f>
        <v>76</v>
      </c>
      <c r="B77" t="s">
        <v>4</v>
      </c>
      <c r="C77" t="s">
        <v>328</v>
      </c>
      <c r="E77" s="196">
        <f>IF(ISNUMBER(SEARCH('Карта учёта'!$B$13,Расходка[[#This Row],[Наименование расходного материала]])),MAX($E$1:E76)+1,0)</f>
        <v>0</v>
      </c>
      <c r="F77" s="196">
        <f>IF(ISNUMBER(SEARCH('Карта учёта'!$B$14,Расходка[[#This Row],[Наименование расходного материала]])),MAX($F$1:F76)+1,0)</f>
        <v>0</v>
      </c>
      <c r="G77" s="196">
        <f>IF(ISNUMBER(SEARCH('Карта учёта'!$B$15,Расходка[[#This Row],[Наименование расходного материала]])),MAX($G$1:G76)+1,0)</f>
        <v>76</v>
      </c>
      <c r="H77" s="196">
        <f>IF(ISNUMBER(SEARCH('Карта учёта'!$B$16,Расходка[[#This Row],[Наименование расходного материала]])),MAX($H$1:H76)+1,0)</f>
        <v>76</v>
      </c>
      <c r="I77" s="196">
        <f>IF(ISNUMBER(SEARCH('Карта учёта'!$B$17,Расходка[[#This Row],[Наименование расходного материала]])),MAX($I$1:I76)+1,0)</f>
        <v>76</v>
      </c>
      <c r="J77" s="196">
        <f>IF(ISNUMBER(SEARCH('Карта учёта'!$B$18,Расходка[[#This Row],[Наименование расходного материала]])),MAX($J$1:J76)+1,0)</f>
        <v>76</v>
      </c>
      <c r="K77" s="196">
        <f>IF(ISNUMBER(SEARCH('Карта учёта'!$B$19,Расходка[[#This Row],[Наименование расходного материала]])),MAX($K$1:K76)+1,0)</f>
        <v>76</v>
      </c>
      <c r="L77" s="196">
        <f>IF(ISNUMBER(SEARCH('Карта учёта'!$B$20,Расходка[[#This Row],[Наименование расходного материала]])),MAX($L$1:L76)+1,0)</f>
        <v>76</v>
      </c>
      <c r="M77" s="196">
        <f>IF(ISNUMBER(SEARCH('Карта учёта'!$B$21,Расходка[[#This Row],[Наименование расходного материала]])),MAX($M$1:M76)+1,0)</f>
        <v>76</v>
      </c>
      <c r="N77" s="196">
        <f>IF(ISNUMBER(SEARCH('Карта учёта'!$B$22,Расходка[[#This Row],[Наименование расходного материала]])),MAX($N$1:N76)+1,0)</f>
        <v>76</v>
      </c>
      <c r="O77" s="196">
        <f>IF(ISNUMBER(SEARCH('Карта учёта'!$B$23,Расходка[[#This Row],[Наименование расходного материала]])),MAX($O$1:O76)+1,0)</f>
        <v>76</v>
      </c>
      <c r="P77" s="196">
        <f>IF(ISNUMBER(SEARCH('Карта учёта'!$B$24,Расходка[[#This Row],[Наименование расходного материала]])),MAX($P$1:P76)+1,0)</f>
        <v>76</v>
      </c>
      <c r="Q77" s="196">
        <f>IF(ISNUMBER(SEARCH('Карта учёта'!$B$25,Расходка[[#This Row],[Наименование расходного материала]])),MAX($Q$1:Q76)+1,0)</f>
        <v>76</v>
      </c>
      <c r="R77" s="197" t="str">
        <f>IFERROR(INDEX(Расходка[Наименование расходного материала],MATCH(Расходка[[#This Row],[№]],Поиск_расходки[Индекс1],0)),"")</f>
        <v/>
      </c>
      <c r="S77" s="197" t="str">
        <f>IFERROR(INDEX(Расходка[Наименование расходного материала],MATCH(Расходка[[#This Row],[№]],Поиск_расходки[Индекс2],0)),"")</f>
        <v/>
      </c>
      <c r="T77" s="197" t="str">
        <f>IFERROR(INDEX(Расходка[Наименование расходного материала],MATCH(Расходка[[#This Row],[№]],Поиск_расходки[Индекс3],0)),"")</f>
        <v>Launcher 6F JR 3.5</v>
      </c>
      <c r="U77" s="197" t="str">
        <f>IFERROR(INDEX(Расходка[Наименование расходного материала],MATCH(Расходка[[#This Row],[№]],Поиск_расходки[Индекс4],0)),"")</f>
        <v>Launcher 6F JR 3.5</v>
      </c>
      <c r="V77" s="197" t="str">
        <f>IFERROR(INDEX(Расходка[Наименование расходного материала],MATCH(Расходка[[#This Row],[№]],Поиск_расходки[Индекс5],0)),"")</f>
        <v>Launcher 6F JR 3.5</v>
      </c>
      <c r="W77" s="197" t="str">
        <f>IFERROR(INDEX(Расходка[Наименование расходного материала],MATCH(Расходка[[#This Row],[№]],Поиск_расходки[Индекс6],0)),"")</f>
        <v>Launcher 6F JR 3.5</v>
      </c>
      <c r="X77" s="197" t="str">
        <f>IFERROR(INDEX(Расходка[Наименование расходного материала],MATCH(Расходка[[#This Row],[№]],Поиск_расходки[Индекс7],0)),"")</f>
        <v>Launcher 6F JR 3.5</v>
      </c>
      <c r="Y77" s="197" t="str">
        <f>IFERROR(INDEX(Расходка[Наименование расходного материала],MATCH(Расходка[[#This Row],[№]],Поиск_расходки[Индекс8],0)),"")</f>
        <v>Launcher 6F JR 3.5</v>
      </c>
      <c r="Z77" s="197" t="str">
        <f>IFERROR(INDEX(Расходка[Наименование расходного материала],MATCH(Расходка[[#This Row],[№]],Поиск_расходки[Индекс9],0)),"")</f>
        <v>Launcher 6F JR 3.5</v>
      </c>
      <c r="AA77" s="197" t="str">
        <f>IFERROR(INDEX(Расходка[Наименование расходного материала],MATCH(Расходка[[#This Row],[№]],Поиск_расходки[Индекс10],0)),"")</f>
        <v>Launcher 6F JR 3.5</v>
      </c>
      <c r="AB77" s="197" t="str">
        <f>IFERROR(INDEX(Расходка[Наименование расходного материала],MATCH(Расходка[[#This Row],[№]],Поиск_расходки[Индекс11],0)),"")</f>
        <v>Launcher 6F JR 3.5</v>
      </c>
      <c r="AC77" s="197" t="str">
        <f>IFERROR(INDEX(Расходка[Наименование расходного материала],MATCH(Расходка[[#This Row],[№]],Поиск_расходки[Индекс12],0)),"")</f>
        <v>Launcher 6F JR 3.5</v>
      </c>
      <c r="AD77" s="197" t="str">
        <f>IFERROR(INDEX(Расходка[Наименование расходного материала],MATCH(Расходка[[#This Row],[№]],Поиск_расходки[Индекс13],0)),"")</f>
        <v>Launcher 6F JR 3.5</v>
      </c>
      <c r="AF77" s="4" t="s">
        <v>6</v>
      </c>
      <c r="AG77" s="4" t="s">
        <v>466</v>
      </c>
    </row>
    <row r="78" spans="1:33">
      <c r="A78">
        <f>ROW(Расходка[[#This Row],[Тип расходного материала ]])-1</f>
        <v>77</v>
      </c>
      <c r="B78" t="s">
        <v>4</v>
      </c>
      <c r="C78" t="s">
        <v>329</v>
      </c>
      <c r="E78" s="196">
        <f>IF(ISNUMBER(SEARCH('Карта учёта'!$B$13,Расходка[[#This Row],[Наименование расходного материала]])),MAX($E$1:E77)+1,0)</f>
        <v>0</v>
      </c>
      <c r="F78" s="196">
        <f>IF(ISNUMBER(SEARCH('Карта учёта'!$B$14,Расходка[[#This Row],[Наименование расходного материала]])),MAX($F$1:F77)+1,0)</f>
        <v>0</v>
      </c>
      <c r="G78" s="196">
        <f>IF(ISNUMBER(SEARCH('Карта учёта'!$B$15,Расходка[[#This Row],[Наименование расходного материала]])),MAX($G$1:G77)+1,0)</f>
        <v>77</v>
      </c>
      <c r="H78" s="196">
        <f>IF(ISNUMBER(SEARCH('Карта учёта'!$B$16,Расходка[[#This Row],[Наименование расходного материала]])),MAX($H$1:H77)+1,0)</f>
        <v>77</v>
      </c>
      <c r="I78" s="196">
        <f>IF(ISNUMBER(SEARCH('Карта учёта'!$B$17,Расходка[[#This Row],[Наименование расходного материала]])),MAX($I$1:I77)+1,0)</f>
        <v>77</v>
      </c>
      <c r="J78" s="196">
        <f>IF(ISNUMBER(SEARCH('Карта учёта'!$B$18,Расходка[[#This Row],[Наименование расходного материала]])),MAX($J$1:J77)+1,0)</f>
        <v>77</v>
      </c>
      <c r="K78" s="196">
        <f>IF(ISNUMBER(SEARCH('Карта учёта'!$B$19,Расходка[[#This Row],[Наименование расходного материала]])),MAX($K$1:K77)+1,0)</f>
        <v>77</v>
      </c>
      <c r="L78" s="196">
        <f>IF(ISNUMBER(SEARCH('Карта учёта'!$B$20,Расходка[[#This Row],[Наименование расходного материала]])),MAX($L$1:L77)+1,0)</f>
        <v>77</v>
      </c>
      <c r="M78" s="196">
        <f>IF(ISNUMBER(SEARCH('Карта учёта'!$B$21,Расходка[[#This Row],[Наименование расходного материала]])),MAX($M$1:M77)+1,0)</f>
        <v>77</v>
      </c>
      <c r="N78" s="196">
        <f>IF(ISNUMBER(SEARCH('Карта учёта'!$B$22,Расходка[[#This Row],[Наименование расходного материала]])),MAX($N$1:N77)+1,0)</f>
        <v>77</v>
      </c>
      <c r="O78" s="196">
        <f>IF(ISNUMBER(SEARCH('Карта учёта'!$B$23,Расходка[[#This Row],[Наименование расходного материала]])),MAX($O$1:O77)+1,0)</f>
        <v>77</v>
      </c>
      <c r="P78" s="196">
        <f>IF(ISNUMBER(SEARCH('Карта учёта'!$B$24,Расходка[[#This Row],[Наименование расходного материала]])),MAX($P$1:P77)+1,0)</f>
        <v>77</v>
      </c>
      <c r="Q78" s="196">
        <f>IF(ISNUMBER(SEARCH('Карта учёта'!$B$25,Расходка[[#This Row],[Наименование расходного материала]])),MAX($Q$1:Q77)+1,0)</f>
        <v>77</v>
      </c>
      <c r="R78" s="197" t="str">
        <f>IFERROR(INDEX(Расходка[Наименование расходного материала],MATCH(Расходка[[#This Row],[№]],Поиск_расходки[Индекс1],0)),"")</f>
        <v/>
      </c>
      <c r="S78" s="197" t="str">
        <f>IFERROR(INDEX(Расходка[Наименование расходного материала],MATCH(Расходка[[#This Row],[№]],Поиск_расходки[Индекс2],0)),"")</f>
        <v/>
      </c>
      <c r="T78" s="197" t="str">
        <f>IFERROR(INDEX(Расходка[Наименование расходного материала],MATCH(Расходка[[#This Row],[№]],Поиск_расходки[Индекс3],0)),"")</f>
        <v>Launcher 6F JR 4.0</v>
      </c>
      <c r="U78" s="197" t="str">
        <f>IFERROR(INDEX(Расходка[Наименование расходного материала],MATCH(Расходка[[#This Row],[№]],Поиск_расходки[Индекс4],0)),"")</f>
        <v>Launcher 6F JR 4.0</v>
      </c>
      <c r="V78" s="197" t="str">
        <f>IFERROR(INDEX(Расходка[Наименование расходного материала],MATCH(Расходка[[#This Row],[№]],Поиск_расходки[Индекс5],0)),"")</f>
        <v>Launcher 6F JR 4.0</v>
      </c>
      <c r="W78" s="197" t="str">
        <f>IFERROR(INDEX(Расходка[Наименование расходного материала],MATCH(Расходка[[#This Row],[№]],Поиск_расходки[Индекс6],0)),"")</f>
        <v>Launcher 6F JR 4.0</v>
      </c>
      <c r="X78" s="197" t="str">
        <f>IFERROR(INDEX(Расходка[Наименование расходного материала],MATCH(Расходка[[#This Row],[№]],Поиск_расходки[Индекс7],0)),"")</f>
        <v>Launcher 6F JR 4.0</v>
      </c>
      <c r="Y78" s="197" t="str">
        <f>IFERROR(INDEX(Расходка[Наименование расходного материала],MATCH(Расходка[[#This Row],[№]],Поиск_расходки[Индекс8],0)),"")</f>
        <v>Launcher 6F JR 4.0</v>
      </c>
      <c r="Z78" s="197" t="str">
        <f>IFERROR(INDEX(Расходка[Наименование расходного материала],MATCH(Расходка[[#This Row],[№]],Поиск_расходки[Индекс9],0)),"")</f>
        <v>Launcher 6F JR 4.0</v>
      </c>
      <c r="AA78" s="197" t="str">
        <f>IFERROR(INDEX(Расходка[Наименование расходного материала],MATCH(Расходка[[#This Row],[№]],Поиск_расходки[Индекс10],0)),"")</f>
        <v>Launcher 6F JR 4.0</v>
      </c>
      <c r="AB78" s="197" t="str">
        <f>IFERROR(INDEX(Расходка[Наименование расходного материала],MATCH(Расходка[[#This Row],[№]],Поиск_расходки[Индекс11],0)),"")</f>
        <v>Launcher 6F JR 4.0</v>
      </c>
      <c r="AC78" s="197" t="str">
        <f>IFERROR(INDEX(Расходка[Наименование расходного материала],MATCH(Расходка[[#This Row],[№]],Поиск_расходки[Индекс12],0)),"")</f>
        <v>Launcher 6F JR 4.0</v>
      </c>
      <c r="AD78" s="197" t="str">
        <f>IFERROR(INDEX(Расходка[Наименование расходного материала],MATCH(Расходка[[#This Row],[№]],Поиск_расходки[Индекс13],0)),"")</f>
        <v>Launcher 6F JR 4.0</v>
      </c>
      <c r="AF78" s="4" t="s">
        <v>6</v>
      </c>
      <c r="AG78" s="4" t="s">
        <v>467</v>
      </c>
    </row>
    <row r="79" spans="1:33">
      <c r="A79">
        <f>ROW(Расходка[[#This Row],[Тип расходного материала ]])-1</f>
        <v>78</v>
      </c>
      <c r="B79" t="s">
        <v>4</v>
      </c>
      <c r="C79" t="s">
        <v>339</v>
      </c>
      <c r="E79" s="196">
        <f>IF(ISNUMBER(SEARCH('Карта учёта'!$B$13,Расходка[[#This Row],[Наименование расходного материала]])),MAX($E$1:E78)+1,0)</f>
        <v>0</v>
      </c>
      <c r="F79" s="196">
        <f>IF(ISNUMBER(SEARCH('Карта учёта'!$B$14,Расходка[[#This Row],[Наименование расходного материала]])),MAX($F$1:F78)+1,0)</f>
        <v>0</v>
      </c>
      <c r="G79" s="196">
        <f>IF(ISNUMBER(SEARCH('Карта учёта'!$B$15,Расходка[[#This Row],[Наименование расходного материала]])),MAX($G$1:G78)+1,0)</f>
        <v>78</v>
      </c>
      <c r="H79" s="196">
        <f>IF(ISNUMBER(SEARCH('Карта учёта'!$B$16,Расходка[[#This Row],[Наименование расходного материала]])),MAX($H$1:H78)+1,0)</f>
        <v>78</v>
      </c>
      <c r="I79" s="196">
        <f>IF(ISNUMBER(SEARCH('Карта учёта'!$B$17,Расходка[[#This Row],[Наименование расходного материала]])),MAX($I$1:I78)+1,0)</f>
        <v>78</v>
      </c>
      <c r="J79" s="196">
        <f>IF(ISNUMBER(SEARCH('Карта учёта'!$B$18,Расходка[[#This Row],[Наименование расходного материала]])),MAX($J$1:J78)+1,0)</f>
        <v>78</v>
      </c>
      <c r="K79" s="196">
        <f>IF(ISNUMBER(SEARCH('Карта учёта'!$B$19,Расходка[[#This Row],[Наименование расходного материала]])),MAX($K$1:K78)+1,0)</f>
        <v>78</v>
      </c>
      <c r="L79" s="196">
        <f>IF(ISNUMBER(SEARCH('Карта учёта'!$B$20,Расходка[[#This Row],[Наименование расходного материала]])),MAX($L$1:L78)+1,0)</f>
        <v>78</v>
      </c>
      <c r="M79" s="196">
        <f>IF(ISNUMBER(SEARCH('Карта учёта'!$B$21,Расходка[[#This Row],[Наименование расходного материала]])),MAX($M$1:M78)+1,0)</f>
        <v>78</v>
      </c>
      <c r="N79" s="196">
        <f>IF(ISNUMBER(SEARCH('Карта учёта'!$B$22,Расходка[[#This Row],[Наименование расходного материала]])),MAX($N$1:N78)+1,0)</f>
        <v>78</v>
      </c>
      <c r="O79" s="196">
        <f>IF(ISNUMBER(SEARCH('Карта учёта'!$B$23,Расходка[[#This Row],[Наименование расходного материала]])),MAX($O$1:O78)+1,0)</f>
        <v>78</v>
      </c>
      <c r="P79" s="196">
        <f>IF(ISNUMBER(SEARCH('Карта учёта'!$B$24,Расходка[[#This Row],[Наименование расходного материала]])),MAX($P$1:P78)+1,0)</f>
        <v>78</v>
      </c>
      <c r="Q79" s="196">
        <f>IF(ISNUMBER(SEARCH('Карта учёта'!$B$25,Расходка[[#This Row],[Наименование расходного материала]])),MAX($Q$1:Q78)+1,0)</f>
        <v>78</v>
      </c>
      <c r="R79" s="197" t="str">
        <f>IFERROR(INDEX(Расходка[Наименование расходного материала],MATCH(Расходка[[#This Row],[№]],Поиск_расходки[Индекс1],0)),"")</f>
        <v/>
      </c>
      <c r="S79" s="197" t="str">
        <f>IFERROR(INDEX(Расходка[Наименование расходного материала],MATCH(Расходка[[#This Row],[№]],Поиск_расходки[Индекс2],0)),"")</f>
        <v/>
      </c>
      <c r="T79" s="197" t="str">
        <f>IFERROR(INDEX(Расходка[Наименование расходного материала],MATCH(Расходка[[#This Row],[№]],Поиск_расходки[Индекс3],0)),"")</f>
        <v>Launcher 7F JL 3.5</v>
      </c>
      <c r="U79" s="197" t="str">
        <f>IFERROR(INDEX(Расходка[Наименование расходного материала],MATCH(Расходка[[#This Row],[№]],Поиск_расходки[Индекс4],0)),"")</f>
        <v>Launcher 7F JL 3.5</v>
      </c>
      <c r="V79" s="197" t="str">
        <f>IFERROR(INDEX(Расходка[Наименование расходного материала],MATCH(Расходка[[#This Row],[№]],Поиск_расходки[Индекс5],0)),"")</f>
        <v>Launcher 7F JL 3.5</v>
      </c>
      <c r="W79" s="197" t="str">
        <f>IFERROR(INDEX(Расходка[Наименование расходного материала],MATCH(Расходка[[#This Row],[№]],Поиск_расходки[Индекс6],0)),"")</f>
        <v>Launcher 7F JL 3.5</v>
      </c>
      <c r="X79" s="197" t="str">
        <f>IFERROR(INDEX(Расходка[Наименование расходного материала],MATCH(Расходка[[#This Row],[№]],Поиск_расходки[Индекс7],0)),"")</f>
        <v>Launcher 7F JL 3.5</v>
      </c>
      <c r="Y79" s="197" t="str">
        <f>IFERROR(INDEX(Расходка[Наименование расходного материала],MATCH(Расходка[[#This Row],[№]],Поиск_расходки[Индекс8],0)),"")</f>
        <v>Launcher 7F JL 3.5</v>
      </c>
      <c r="Z79" s="197" t="str">
        <f>IFERROR(INDEX(Расходка[Наименование расходного материала],MATCH(Расходка[[#This Row],[№]],Поиск_расходки[Индекс9],0)),"")</f>
        <v>Launcher 7F JL 3.5</v>
      </c>
      <c r="AA79" s="197" t="str">
        <f>IFERROR(INDEX(Расходка[Наименование расходного материала],MATCH(Расходка[[#This Row],[№]],Поиск_расходки[Индекс10],0)),"")</f>
        <v>Launcher 7F JL 3.5</v>
      </c>
      <c r="AB79" s="197" t="str">
        <f>IFERROR(INDEX(Расходка[Наименование расходного материала],MATCH(Расходка[[#This Row],[№]],Поиск_расходки[Индекс11],0)),"")</f>
        <v>Launcher 7F JL 3.5</v>
      </c>
      <c r="AC79" s="197" t="str">
        <f>IFERROR(INDEX(Расходка[Наименование расходного материала],MATCH(Расходка[[#This Row],[№]],Поиск_расходки[Индекс12],0)),"")</f>
        <v>Launcher 7F JL 3.5</v>
      </c>
      <c r="AD79" s="197" t="str">
        <f>IFERROR(INDEX(Расходка[Наименование расходного материала],MATCH(Расходка[[#This Row],[№]],Поиск_расходки[Индекс13],0)),"")</f>
        <v>Launcher 7F JL 3.5</v>
      </c>
      <c r="AF79" s="4" t="s">
        <v>6</v>
      </c>
      <c r="AG79" s="4" t="s">
        <v>468</v>
      </c>
    </row>
    <row r="80" spans="1:33">
      <c r="A80">
        <f>ROW(Расходка[[#This Row],[Тип расходного материала ]])-1</f>
        <v>79</v>
      </c>
      <c r="B80" t="s">
        <v>4</v>
      </c>
      <c r="C80" t="s">
        <v>338</v>
      </c>
      <c r="E80" s="196">
        <f>IF(ISNUMBER(SEARCH('Карта учёта'!$B$13,Расходка[[#This Row],[Наименование расходного материала]])),MAX($E$1:E79)+1,0)</f>
        <v>0</v>
      </c>
      <c r="F80" s="196">
        <f>IF(ISNUMBER(SEARCH('Карта учёта'!$B$14,Расходка[[#This Row],[Наименование расходного материала]])),MAX($F$1:F79)+1,0)</f>
        <v>0</v>
      </c>
      <c r="G80" s="196">
        <f>IF(ISNUMBER(SEARCH('Карта учёта'!$B$15,Расходка[[#This Row],[Наименование расходного материала]])),MAX($G$1:G79)+1,0)</f>
        <v>79</v>
      </c>
      <c r="H80" s="196">
        <f>IF(ISNUMBER(SEARCH('Карта учёта'!$B$16,Расходка[[#This Row],[Наименование расходного материала]])),MAX($H$1:H79)+1,0)</f>
        <v>79</v>
      </c>
      <c r="I80" s="196">
        <f>IF(ISNUMBER(SEARCH('Карта учёта'!$B$17,Расходка[[#This Row],[Наименование расходного материала]])),MAX($I$1:I79)+1,0)</f>
        <v>79</v>
      </c>
      <c r="J80" s="196">
        <f>IF(ISNUMBER(SEARCH('Карта учёта'!$B$18,Расходка[[#This Row],[Наименование расходного материала]])),MAX($J$1:J79)+1,0)</f>
        <v>79</v>
      </c>
      <c r="K80" s="196">
        <f>IF(ISNUMBER(SEARCH('Карта учёта'!$B$19,Расходка[[#This Row],[Наименование расходного материала]])),MAX($K$1:K79)+1,0)</f>
        <v>79</v>
      </c>
      <c r="L80" s="196">
        <f>IF(ISNUMBER(SEARCH('Карта учёта'!$B$20,Расходка[[#This Row],[Наименование расходного материала]])),MAX($L$1:L79)+1,0)</f>
        <v>79</v>
      </c>
      <c r="M80" s="196">
        <f>IF(ISNUMBER(SEARCH('Карта учёта'!$B$21,Расходка[[#This Row],[Наименование расходного материала]])),MAX($M$1:M79)+1,0)</f>
        <v>79</v>
      </c>
      <c r="N80" s="196">
        <f>IF(ISNUMBER(SEARCH('Карта учёта'!$B$22,Расходка[[#This Row],[Наименование расходного материала]])),MAX($N$1:N79)+1,0)</f>
        <v>79</v>
      </c>
      <c r="O80" s="196">
        <f>IF(ISNUMBER(SEARCH('Карта учёта'!$B$23,Расходка[[#This Row],[Наименование расходного материала]])),MAX($O$1:O79)+1,0)</f>
        <v>79</v>
      </c>
      <c r="P80" s="196">
        <f>IF(ISNUMBER(SEARCH('Карта учёта'!$B$24,Расходка[[#This Row],[Наименование расходного материала]])),MAX($P$1:P79)+1,0)</f>
        <v>79</v>
      </c>
      <c r="Q80" s="196">
        <f>IF(ISNUMBER(SEARCH('Карта учёта'!$B$25,Расходка[[#This Row],[Наименование расходного материала]])),MAX($Q$1:Q79)+1,0)</f>
        <v>79</v>
      </c>
      <c r="R80" s="197" t="str">
        <f>IFERROR(INDEX(Расходка[Наименование расходного материала],MATCH(Расходка[[#This Row],[№]],Поиск_расходки[Индекс1],0)),"")</f>
        <v/>
      </c>
      <c r="S80" s="197" t="str">
        <f>IFERROR(INDEX(Расходка[Наименование расходного материала],MATCH(Расходка[[#This Row],[№]],Поиск_расходки[Индекс2],0)),"")</f>
        <v/>
      </c>
      <c r="T80" s="197" t="str">
        <f>IFERROR(INDEX(Расходка[Наименование расходного материала],MATCH(Расходка[[#This Row],[№]],Поиск_расходки[Индекс3],0)),"")</f>
        <v>Launcher 7F JL 4.0</v>
      </c>
      <c r="U80" s="197" t="str">
        <f>IFERROR(INDEX(Расходка[Наименование расходного материала],MATCH(Расходка[[#This Row],[№]],Поиск_расходки[Индекс4],0)),"")</f>
        <v>Launcher 7F JL 4.0</v>
      </c>
      <c r="V80" s="197" t="str">
        <f>IFERROR(INDEX(Расходка[Наименование расходного материала],MATCH(Расходка[[#This Row],[№]],Поиск_расходки[Индекс5],0)),"")</f>
        <v>Launcher 7F JL 4.0</v>
      </c>
      <c r="W80" s="197" t="str">
        <f>IFERROR(INDEX(Расходка[Наименование расходного материала],MATCH(Расходка[[#This Row],[№]],Поиск_расходки[Индекс6],0)),"")</f>
        <v>Launcher 7F JL 4.0</v>
      </c>
      <c r="X80" s="197" t="str">
        <f>IFERROR(INDEX(Расходка[Наименование расходного материала],MATCH(Расходка[[#This Row],[№]],Поиск_расходки[Индекс7],0)),"")</f>
        <v>Launcher 7F JL 4.0</v>
      </c>
      <c r="Y80" s="197" t="str">
        <f>IFERROR(INDEX(Расходка[Наименование расходного материала],MATCH(Расходка[[#This Row],[№]],Поиск_расходки[Индекс8],0)),"")</f>
        <v>Launcher 7F JL 4.0</v>
      </c>
      <c r="Z80" s="197" t="str">
        <f>IFERROR(INDEX(Расходка[Наименование расходного материала],MATCH(Расходка[[#This Row],[№]],Поиск_расходки[Индекс9],0)),"")</f>
        <v>Launcher 7F JL 4.0</v>
      </c>
      <c r="AA80" s="197" t="str">
        <f>IFERROR(INDEX(Расходка[Наименование расходного материала],MATCH(Расходка[[#This Row],[№]],Поиск_расходки[Индекс10],0)),"")</f>
        <v>Launcher 7F JL 4.0</v>
      </c>
      <c r="AB80" s="197" t="str">
        <f>IFERROR(INDEX(Расходка[Наименование расходного материала],MATCH(Расходка[[#This Row],[№]],Поиск_расходки[Индекс11],0)),"")</f>
        <v>Launcher 7F JL 4.0</v>
      </c>
      <c r="AC80" s="197" t="str">
        <f>IFERROR(INDEX(Расходка[Наименование расходного материала],MATCH(Расходка[[#This Row],[№]],Поиск_расходки[Индекс12],0)),"")</f>
        <v>Launcher 7F JL 4.0</v>
      </c>
      <c r="AD80" s="197" t="str">
        <f>IFERROR(INDEX(Расходка[Наименование расходного материала],MATCH(Расходка[[#This Row],[№]],Поиск_расходки[Индекс13],0)),"")</f>
        <v>Launcher 7F JL 4.0</v>
      </c>
      <c r="AF80" s="4" t="s">
        <v>6</v>
      </c>
      <c r="AG80" s="4" t="s">
        <v>469</v>
      </c>
    </row>
    <row r="81" spans="1:33">
      <c r="A81">
        <f>ROW(Расходка[[#This Row],[Тип расходного материала ]])-1</f>
        <v>80</v>
      </c>
      <c r="B81" t="s">
        <v>301</v>
      </c>
      <c r="C81" s="1" t="s">
        <v>330</v>
      </c>
      <c r="E81" s="196">
        <f>IF(ISNUMBER(SEARCH('Карта учёта'!$B$13,Расходка[[#This Row],[Наименование расходного материала]])),MAX($E$1:E80)+1,0)</f>
        <v>0</v>
      </c>
      <c r="F81" s="196">
        <f>IF(ISNUMBER(SEARCH('Карта учёта'!$B$14,Расходка[[#This Row],[Наименование расходного материала]])),MAX($F$1:F80)+1,0)</f>
        <v>0</v>
      </c>
      <c r="G81" s="196">
        <f>IF(ISNUMBER(SEARCH('Карта учёта'!$B$15,Расходка[[#This Row],[Наименование расходного материала]])),MAX($G$1:G80)+1,0)</f>
        <v>80</v>
      </c>
      <c r="H81" s="196">
        <f>IF(ISNUMBER(SEARCH('Карта учёта'!$B$16,Расходка[[#This Row],[Наименование расходного материала]])),MAX($H$1:H80)+1,0)</f>
        <v>80</v>
      </c>
      <c r="I81" s="196">
        <f>IF(ISNUMBER(SEARCH('Карта учёта'!$B$17,Расходка[[#This Row],[Наименование расходного материала]])),MAX($I$1:I80)+1,0)</f>
        <v>80</v>
      </c>
      <c r="J81" s="196">
        <f>IF(ISNUMBER(SEARCH('Карта учёта'!$B$18,Расходка[[#This Row],[Наименование расходного материала]])),MAX($J$1:J80)+1,0)</f>
        <v>80</v>
      </c>
      <c r="K81" s="196">
        <f>IF(ISNUMBER(SEARCH('Карта учёта'!$B$19,Расходка[[#This Row],[Наименование расходного материала]])),MAX($K$1:K80)+1,0)</f>
        <v>80</v>
      </c>
      <c r="L81" s="196">
        <f>IF(ISNUMBER(SEARCH('Карта учёта'!$B$20,Расходка[[#This Row],[Наименование расходного материала]])),MAX($L$1:L80)+1,0)</f>
        <v>80</v>
      </c>
      <c r="M81" s="196">
        <f>IF(ISNUMBER(SEARCH('Карта учёта'!$B$21,Расходка[[#This Row],[Наименование расходного материала]])),MAX($M$1:M80)+1,0)</f>
        <v>80</v>
      </c>
      <c r="N81" s="196">
        <f>IF(ISNUMBER(SEARCH('Карта учёта'!$B$22,Расходка[[#This Row],[Наименование расходного материала]])),MAX($N$1:N80)+1,0)</f>
        <v>80</v>
      </c>
      <c r="O81" s="196">
        <f>IF(ISNUMBER(SEARCH('Карта учёта'!$B$23,Расходка[[#This Row],[Наименование расходного материала]])),MAX($O$1:O80)+1,0)</f>
        <v>80</v>
      </c>
      <c r="P81" s="196">
        <f>IF(ISNUMBER(SEARCH('Карта учёта'!$B$24,Расходка[[#This Row],[Наименование расходного материала]])),MAX($P$1:P80)+1,0)</f>
        <v>80</v>
      </c>
      <c r="Q81" s="196">
        <f>IF(ISNUMBER(SEARCH('Карта учёта'!$B$25,Расходка[[#This Row],[Наименование расходного материала]])),MAX($Q$1:Q80)+1,0)</f>
        <v>80</v>
      </c>
      <c r="R81" s="197" t="str">
        <f>IFERROR(INDEX(Расходка[Наименование расходного материала],MATCH(Расходка[[#This Row],[№]],Поиск_расходки[Индекс1],0)),"")</f>
        <v/>
      </c>
      <c r="S81" s="197" t="str">
        <f>IFERROR(INDEX(Расходка[Наименование расходного материала],MATCH(Расходка[[#This Row],[№]],Поиск_расходки[Индекс2],0)),"")</f>
        <v/>
      </c>
      <c r="T81" s="197" t="str">
        <f>IFERROR(INDEX(Расходка[Наименование расходного материала],MATCH(Расходка[[#This Row],[№]],Поиск_расходки[Индекс3],0)),"")</f>
        <v>Angio-Seal™ VIP</v>
      </c>
      <c r="U81" s="197" t="str">
        <f>IFERROR(INDEX(Расходка[Наименование расходного материала],MATCH(Расходка[[#This Row],[№]],Поиск_расходки[Индекс4],0)),"")</f>
        <v>Angio-Seal™ VIP</v>
      </c>
      <c r="V81" s="197" t="str">
        <f>IFERROR(INDEX(Расходка[Наименование расходного материала],MATCH(Расходка[[#This Row],[№]],Поиск_расходки[Индекс5],0)),"")</f>
        <v>Angio-Seal™ VIP</v>
      </c>
      <c r="W81" s="197" t="str">
        <f>IFERROR(INDEX(Расходка[Наименование расходного материала],MATCH(Расходка[[#This Row],[№]],Поиск_расходки[Индекс6],0)),"")</f>
        <v>Angio-Seal™ VIP</v>
      </c>
      <c r="X81" s="197" t="str">
        <f>IFERROR(INDEX(Расходка[Наименование расходного материала],MATCH(Расходка[[#This Row],[№]],Поиск_расходки[Индекс7],0)),"")</f>
        <v>Angio-Seal™ VIP</v>
      </c>
      <c r="Y81" s="197" t="str">
        <f>IFERROR(INDEX(Расходка[Наименование расходного материала],MATCH(Расходка[[#This Row],[№]],Поиск_расходки[Индекс8],0)),"")</f>
        <v>Angio-Seal™ VIP</v>
      </c>
      <c r="Z81" s="197" t="str">
        <f>IFERROR(INDEX(Расходка[Наименование расходного материала],MATCH(Расходка[[#This Row],[№]],Поиск_расходки[Индекс9],0)),"")</f>
        <v>Angio-Seal™ VIP</v>
      </c>
      <c r="AA81" s="197" t="str">
        <f>IFERROR(INDEX(Расходка[Наименование расходного материала],MATCH(Расходка[[#This Row],[№]],Поиск_расходки[Индекс10],0)),"")</f>
        <v>Angio-Seal™ VIP</v>
      </c>
      <c r="AB81" s="197" t="str">
        <f>IFERROR(INDEX(Расходка[Наименование расходного материала],MATCH(Расходка[[#This Row],[№]],Поиск_расходки[Индекс11],0)),"")</f>
        <v>Angio-Seal™ VIP</v>
      </c>
      <c r="AC81" s="197" t="str">
        <f>IFERROR(INDEX(Расходка[Наименование расходного материала],MATCH(Расходка[[#This Row],[№]],Поиск_расходки[Индекс12],0)),"")</f>
        <v>Angio-Seal™ VIP</v>
      </c>
      <c r="AD81" s="197" t="str">
        <f>IFERROR(INDEX(Расходка[Наименование расходного материала],MATCH(Расходка[[#This Row],[№]],Поиск_расходки[Индекс13],0)),"")</f>
        <v>Angio-Seal™ VIP</v>
      </c>
      <c r="AF81" s="4" t="s">
        <v>6</v>
      </c>
      <c r="AG81" s="4" t="s">
        <v>470</v>
      </c>
    </row>
    <row r="82" spans="1:33">
      <c r="E82" s="196">
        <f>IF(ISNUMBER(SEARCH('Карта учёта'!$B$13,Расходка[[#This Row],[Наименование расходного материала]])),MAX($E$1:E81)+1,0)</f>
        <v>0</v>
      </c>
      <c r="F82" s="196">
        <f>IF(ISNUMBER(SEARCH('Карта учёта'!$B$14,Расходка[[#This Row],[Наименование расходного материала]])),MAX($F$1:F81)+1,0)</f>
        <v>0</v>
      </c>
      <c r="G82" s="196">
        <f>IF(ISNUMBER(SEARCH('Карта учёта'!$B$15,Расходка[[#This Row],[Наименование расходного материала]])),MAX($G$1:G81)+1,0)</f>
        <v>0</v>
      </c>
      <c r="H82" s="196">
        <f>IF(ISNUMBER(SEARCH('Карта учёта'!$B$16,Расходка[[#This Row],[Наименование расходного материала]])),MAX($H$1:H81)+1,0)</f>
        <v>0</v>
      </c>
      <c r="I82" s="196">
        <f>IF(ISNUMBER(SEARCH('Карта учёта'!$B$17,Расходка[[#This Row],[Наименование расходного материала]])),MAX($I$1:I81)+1,0)</f>
        <v>0</v>
      </c>
      <c r="J82" s="196">
        <f>IF(ISNUMBER(SEARCH('Карта учёта'!$B$18,Расходка[[#This Row],[Наименование расходного материала]])),MAX($J$1:J81)+1,0)</f>
        <v>0</v>
      </c>
      <c r="K82" s="196">
        <f>IF(ISNUMBER(SEARCH('Карта учёта'!$B$19,Расходка[[#This Row],[Наименование расходного материала]])),MAX($K$1:K81)+1,0)</f>
        <v>0</v>
      </c>
      <c r="L82" s="196">
        <f>IF(ISNUMBER(SEARCH('Карта учёта'!$B$20,Расходка[[#This Row],[Наименование расходного материала]])),MAX($L$1:L81)+1,0)</f>
        <v>0</v>
      </c>
      <c r="M82" s="196">
        <f>IF(ISNUMBER(SEARCH('Карта учёта'!$B$21,Расходка[[#This Row],[Наименование расходного материала]])),MAX($M$1:M81)+1,0)</f>
        <v>0</v>
      </c>
      <c r="N82" s="196">
        <f>IF(ISNUMBER(SEARCH('Карта учёта'!$B$22,Расходка[[#This Row],[Наименование расходного материала]])),MAX($N$1:N81)+1,0)</f>
        <v>0</v>
      </c>
      <c r="O82" s="196">
        <f>IF(ISNUMBER(SEARCH('Карта учёта'!$B$23,Расходка[[#This Row],[Наименование расходного материала]])),MAX($O$1:O81)+1,0)</f>
        <v>0</v>
      </c>
      <c r="P82" s="196">
        <f>IF(ISNUMBER(SEARCH('Карта учёта'!$B$24,Расходка[[#This Row],[Наименование расходного материала]])),MAX($P$1:P81)+1,0)</f>
        <v>0</v>
      </c>
      <c r="Q82" s="196">
        <f>IF(ISNUMBER(SEARCH('Карта учёта'!$B$25,Расходка[[#This Row],[Наименование расходного материала]])),MAX($Q$1:Q81)+1,0)</f>
        <v>0</v>
      </c>
      <c r="R82" s="197" t="str">
        <f>IFERROR(INDEX(Расходка[Наименование расходного материала],MATCH(Расходка[[#This Row],[№]],Поиск_расходки[Индекс1],0)),"")</f>
        <v/>
      </c>
      <c r="S82" s="197" t="str">
        <f>IFERROR(INDEX(Расходка[Наименование расходного материала],MATCH(Расходка[[#This Row],[№]],Поиск_расходки[Индекс2],0)),"")</f>
        <v/>
      </c>
      <c r="T82" s="197" t="str">
        <f>IFERROR(INDEX(Расходка[Наименование расходного материала],MATCH(Расходка[[#This Row],[№]],Поиск_расходки[Индекс3],0)),"")</f>
        <v/>
      </c>
      <c r="U82" s="197" t="str">
        <f>IFERROR(INDEX(Расходка[Наименование расходного материала],MATCH(Расходка[[#This Row],[№]],Поиск_расходки[Индекс4],0)),"")</f>
        <v/>
      </c>
      <c r="V82" s="197" t="str">
        <f>IFERROR(INDEX(Расходка[Наименование расходного материала],MATCH(Расходка[[#This Row],[№]],Поиск_расходки[Индекс5],0)),"")</f>
        <v/>
      </c>
      <c r="W82" s="197" t="str">
        <f>IFERROR(INDEX(Расходка[Наименование расходного материала],MATCH(Расходка[[#This Row],[№]],Поиск_расходки[Индекс6],0)),"")</f>
        <v/>
      </c>
      <c r="X82" s="197" t="str">
        <f>IFERROR(INDEX(Расходка[Наименование расходного материала],MATCH(Расходка[[#This Row],[№]],Поиск_расходки[Индекс7],0)),"")</f>
        <v/>
      </c>
      <c r="Y82" s="197" t="str">
        <f>IFERROR(INDEX(Расходка[Наименование расходного материала],MATCH(Расходка[[#This Row],[№]],Поиск_расходки[Индекс8],0)),"")</f>
        <v/>
      </c>
      <c r="Z82" s="197" t="str">
        <f>IFERROR(INDEX(Расходка[Наименование расходного материала],MATCH(Расходка[[#This Row],[№]],Поиск_расходки[Индекс9],0)),"")</f>
        <v/>
      </c>
      <c r="AA82" s="197" t="str">
        <f>IFERROR(INDEX(Расходка[Наименование расходного материала],MATCH(Расходка[[#This Row],[№]],Поиск_расходки[Индекс10],0)),"")</f>
        <v/>
      </c>
      <c r="AB82" s="197" t="str">
        <f>IFERROR(INDEX(Расходка[Наименование расходного материала],MATCH(Расходка[[#This Row],[№]],Поиск_расходки[Индекс11],0)),"")</f>
        <v/>
      </c>
      <c r="AC82" s="197" t="str">
        <f>IFERROR(INDEX(Расходка[Наименование расходного материала],MATCH(Расходка[[#This Row],[№]],Поиск_расходки[Индекс12],0)),"")</f>
        <v/>
      </c>
      <c r="AD82" s="197" t="str">
        <f>IFERROR(INDEX(Расходка[Наименование расходного материала],MATCH(Расходка[[#This Row],[№]],Поиск_расходки[Индекс13],0)),"")</f>
        <v/>
      </c>
      <c r="AF82" s="4" t="s">
        <v>6</v>
      </c>
      <c r="AG82" s="4" t="s">
        <v>471</v>
      </c>
    </row>
    <row r="83" spans="1:33">
      <c r="E83" s="196">
        <f>IF(ISNUMBER(SEARCH('Карта учёта'!$B$13,Расходка[[#This Row],[Наименование расходного материала]])),MAX($E$1:E82)+1,0)</f>
        <v>0</v>
      </c>
      <c r="F83" s="196">
        <f>IF(ISNUMBER(SEARCH('Карта учёта'!$B$14,Расходка[[#This Row],[Наименование расходного материала]])),MAX($F$1:F82)+1,0)</f>
        <v>0</v>
      </c>
      <c r="G83" s="196">
        <f>IF(ISNUMBER(SEARCH('Карта учёта'!$B$15,Расходка[[#This Row],[Наименование расходного материала]])),MAX($G$1:G82)+1,0)</f>
        <v>0</v>
      </c>
      <c r="H83" s="196">
        <f>IF(ISNUMBER(SEARCH('Карта учёта'!$B$16,Расходка[[#This Row],[Наименование расходного материала]])),MAX($H$1:H82)+1,0)</f>
        <v>0</v>
      </c>
      <c r="I83" s="196">
        <f>IF(ISNUMBER(SEARCH('Карта учёта'!$B$17,Расходка[[#This Row],[Наименование расходного материала]])),MAX($I$1:I82)+1,0)</f>
        <v>0</v>
      </c>
      <c r="J83" s="196">
        <f>IF(ISNUMBER(SEARCH('Карта учёта'!$B$18,Расходка[[#This Row],[Наименование расходного материала]])),MAX($J$1:J82)+1,0)</f>
        <v>0</v>
      </c>
      <c r="K83" s="196">
        <f>IF(ISNUMBER(SEARCH('Карта учёта'!$B$19,Расходка[[#This Row],[Наименование расходного материала]])),MAX($K$1:K82)+1,0)</f>
        <v>0</v>
      </c>
      <c r="L83" s="196">
        <f>IF(ISNUMBER(SEARCH('Карта учёта'!$B$20,Расходка[[#This Row],[Наименование расходного материала]])),MAX($L$1:L82)+1,0)</f>
        <v>0</v>
      </c>
      <c r="M83" s="196">
        <f>IF(ISNUMBER(SEARCH('Карта учёта'!$B$21,Расходка[[#This Row],[Наименование расходного материала]])),MAX($M$1:M82)+1,0)</f>
        <v>0</v>
      </c>
      <c r="N83" s="196">
        <f>IF(ISNUMBER(SEARCH('Карта учёта'!$B$22,Расходка[[#This Row],[Наименование расходного материала]])),MAX($N$1:N82)+1,0)</f>
        <v>0</v>
      </c>
      <c r="O83" s="196">
        <f>IF(ISNUMBER(SEARCH('Карта учёта'!$B$23,Расходка[[#This Row],[Наименование расходного материала]])),MAX($O$1:O82)+1,0)</f>
        <v>0</v>
      </c>
      <c r="P83" s="196">
        <f>IF(ISNUMBER(SEARCH('Карта учёта'!$B$24,Расходка[[#This Row],[Наименование расходного материала]])),MAX($P$1:P82)+1,0)</f>
        <v>0</v>
      </c>
      <c r="Q83" s="196">
        <f>IF(ISNUMBER(SEARCH('Карта учёта'!$B$25,Расходка[[#This Row],[Наименование расходного материала]])),MAX($Q$1:Q82)+1,0)</f>
        <v>0</v>
      </c>
      <c r="R83" s="197" t="str">
        <f>IFERROR(INDEX(Расходка[Наименование расходного материала],MATCH(Расходка[[#This Row],[№]],Поиск_расходки[Индекс1],0)),"")</f>
        <v/>
      </c>
      <c r="S83" s="197" t="str">
        <f>IFERROR(INDEX(Расходка[Наименование расходного материала],MATCH(Расходка[[#This Row],[№]],Поиск_расходки[Индекс2],0)),"")</f>
        <v/>
      </c>
      <c r="T83" s="197" t="str">
        <f>IFERROR(INDEX(Расходка[Наименование расходного материала],MATCH(Расходка[[#This Row],[№]],Поиск_расходки[Индекс3],0)),"")</f>
        <v/>
      </c>
      <c r="U83" s="197" t="str">
        <f>IFERROR(INDEX(Расходка[Наименование расходного материала],MATCH(Расходка[[#This Row],[№]],Поиск_расходки[Индекс4],0)),"")</f>
        <v/>
      </c>
      <c r="V83" s="197" t="str">
        <f>IFERROR(INDEX(Расходка[Наименование расходного материала],MATCH(Расходка[[#This Row],[№]],Поиск_расходки[Индекс5],0)),"")</f>
        <v/>
      </c>
      <c r="W83" s="197" t="str">
        <f>IFERROR(INDEX(Расходка[Наименование расходного материала],MATCH(Расходка[[#This Row],[№]],Поиск_расходки[Индекс6],0)),"")</f>
        <v/>
      </c>
      <c r="X83" s="197" t="str">
        <f>IFERROR(INDEX(Расходка[Наименование расходного материала],MATCH(Расходка[[#This Row],[№]],Поиск_расходки[Индекс7],0)),"")</f>
        <v/>
      </c>
      <c r="Y83" s="197" t="str">
        <f>IFERROR(INDEX(Расходка[Наименование расходного материала],MATCH(Расходка[[#This Row],[№]],Поиск_расходки[Индекс8],0)),"")</f>
        <v/>
      </c>
      <c r="Z83" s="197" t="str">
        <f>IFERROR(INDEX(Расходка[Наименование расходного материала],MATCH(Расходка[[#This Row],[№]],Поиск_расходки[Индекс9],0)),"")</f>
        <v/>
      </c>
      <c r="AA83" s="197" t="str">
        <f>IFERROR(INDEX(Расходка[Наименование расходного материала],MATCH(Расходка[[#This Row],[№]],Поиск_расходки[Индекс10],0)),"")</f>
        <v/>
      </c>
      <c r="AB83" s="197" t="str">
        <f>IFERROR(INDEX(Расходка[Наименование расходного материала],MATCH(Расходка[[#This Row],[№]],Поиск_расходки[Индекс11],0)),"")</f>
        <v/>
      </c>
      <c r="AC83" s="197" t="str">
        <f>IFERROR(INDEX(Расходка[Наименование расходного материала],MATCH(Расходка[[#This Row],[№]],Поиск_расходки[Индекс12],0)),"")</f>
        <v/>
      </c>
      <c r="AD83" s="197" t="str">
        <f>IFERROR(INDEX(Расходка[Наименование расходного материала],MATCH(Расходка[[#This Row],[№]],Поиск_расходки[Индекс13],0)),"")</f>
        <v/>
      </c>
      <c r="AF83" s="4" t="s">
        <v>6</v>
      </c>
      <c r="AG83" s="4" t="s">
        <v>472</v>
      </c>
    </row>
    <row r="84" spans="1:33">
      <c r="E84" s="196">
        <f>IF(ISNUMBER(SEARCH('Карта учёта'!$B$13,Расходка[[#This Row],[Наименование расходного материала]])),MAX($E$1:E83)+1,0)</f>
        <v>0</v>
      </c>
      <c r="F84" s="196">
        <f>IF(ISNUMBER(SEARCH('Карта учёта'!$B$14,Расходка[[#This Row],[Наименование расходного материала]])),MAX($F$1:F83)+1,0)</f>
        <v>0</v>
      </c>
      <c r="G84" s="196">
        <f>IF(ISNUMBER(SEARCH('Карта учёта'!$B$15,Расходка[[#This Row],[Наименование расходного материала]])),MAX($G$1:G83)+1,0)</f>
        <v>0</v>
      </c>
      <c r="H84" s="196">
        <f>IF(ISNUMBER(SEARCH('Карта учёта'!$B$16,Расходка[[#This Row],[Наименование расходного материала]])),MAX($H$1:H83)+1,0)</f>
        <v>0</v>
      </c>
      <c r="I84" s="196">
        <f>IF(ISNUMBER(SEARCH('Карта учёта'!$B$17,Расходка[[#This Row],[Наименование расходного материала]])),MAX($I$1:I83)+1,0)</f>
        <v>0</v>
      </c>
      <c r="J84" s="196">
        <f>IF(ISNUMBER(SEARCH('Карта учёта'!$B$18,Расходка[[#This Row],[Наименование расходного материала]])),MAX($J$1:J83)+1,0)</f>
        <v>0</v>
      </c>
      <c r="K84" s="196">
        <f>IF(ISNUMBER(SEARCH('Карта учёта'!$B$19,Расходка[[#This Row],[Наименование расходного материала]])),MAX($K$1:K83)+1,0)</f>
        <v>0</v>
      </c>
      <c r="L84" s="196">
        <f>IF(ISNUMBER(SEARCH('Карта учёта'!$B$20,Расходка[[#This Row],[Наименование расходного материала]])),MAX($L$1:L83)+1,0)</f>
        <v>0</v>
      </c>
      <c r="M84" s="196">
        <f>IF(ISNUMBER(SEARCH('Карта учёта'!$B$21,Расходка[[#This Row],[Наименование расходного материала]])),MAX($M$1:M83)+1,0)</f>
        <v>0</v>
      </c>
      <c r="N84" s="196">
        <f>IF(ISNUMBER(SEARCH('Карта учёта'!$B$22,Расходка[[#This Row],[Наименование расходного материала]])),MAX($N$1:N83)+1,0)</f>
        <v>0</v>
      </c>
      <c r="O84" s="196">
        <f>IF(ISNUMBER(SEARCH('Карта учёта'!$B$23,Расходка[[#This Row],[Наименование расходного материала]])),MAX($O$1:O83)+1,0)</f>
        <v>0</v>
      </c>
      <c r="P84" s="196">
        <f>IF(ISNUMBER(SEARCH('Карта учёта'!$B$24,Расходка[[#This Row],[Наименование расходного материала]])),MAX($P$1:P83)+1,0)</f>
        <v>0</v>
      </c>
      <c r="Q84" s="196">
        <f>IF(ISNUMBER(SEARCH('Карта учёта'!$B$25,Расходка[[#This Row],[Наименование расходного материала]])),MAX($Q$1:Q83)+1,0)</f>
        <v>0</v>
      </c>
      <c r="R84" s="197" t="str">
        <f>IFERROR(INDEX(Расходка[Наименование расходного материала],MATCH(Расходка[[#This Row],[№]],Поиск_расходки[Индекс1],0)),"")</f>
        <v/>
      </c>
      <c r="S84" s="197" t="str">
        <f>IFERROR(INDEX(Расходка[Наименование расходного материала],MATCH(Расходка[[#This Row],[№]],Поиск_расходки[Индекс2],0)),"")</f>
        <v/>
      </c>
      <c r="T84" s="197" t="str">
        <f>IFERROR(INDEX(Расходка[Наименование расходного материала],MATCH(Расходка[[#This Row],[№]],Поиск_расходки[Индекс3],0)),"")</f>
        <v/>
      </c>
      <c r="U84" s="197" t="str">
        <f>IFERROR(INDEX(Расходка[Наименование расходного материала],MATCH(Расходка[[#This Row],[№]],Поиск_расходки[Индекс4],0)),"")</f>
        <v/>
      </c>
      <c r="V84" s="197" t="str">
        <f>IFERROR(INDEX(Расходка[Наименование расходного материала],MATCH(Расходка[[#This Row],[№]],Поиск_расходки[Индекс5],0)),"")</f>
        <v/>
      </c>
      <c r="W84" s="197" t="str">
        <f>IFERROR(INDEX(Расходка[Наименование расходного материала],MATCH(Расходка[[#This Row],[№]],Поиск_расходки[Индекс6],0)),"")</f>
        <v/>
      </c>
      <c r="X84" s="197" t="str">
        <f>IFERROR(INDEX(Расходка[Наименование расходного материала],MATCH(Расходка[[#This Row],[№]],Поиск_расходки[Индекс7],0)),"")</f>
        <v/>
      </c>
      <c r="Y84" s="197" t="str">
        <f>IFERROR(INDEX(Расходка[Наименование расходного материала],MATCH(Расходка[[#This Row],[№]],Поиск_расходки[Индекс8],0)),"")</f>
        <v/>
      </c>
      <c r="Z84" s="197" t="str">
        <f>IFERROR(INDEX(Расходка[Наименование расходного материала],MATCH(Расходка[[#This Row],[№]],Поиск_расходки[Индекс9],0)),"")</f>
        <v/>
      </c>
      <c r="AA84" s="197" t="str">
        <f>IFERROR(INDEX(Расходка[Наименование расходного материала],MATCH(Расходка[[#This Row],[№]],Поиск_расходки[Индекс10],0)),"")</f>
        <v/>
      </c>
      <c r="AB84" s="197" t="str">
        <f>IFERROR(INDEX(Расходка[Наименование расходного материала],MATCH(Расходка[[#This Row],[№]],Поиск_расходки[Индекс11],0)),"")</f>
        <v/>
      </c>
      <c r="AC84" s="197" t="str">
        <f>IFERROR(INDEX(Расходка[Наименование расходного материала],MATCH(Расходка[[#This Row],[№]],Поиск_расходки[Индекс12],0)),"")</f>
        <v/>
      </c>
      <c r="AD84" s="197" t="str">
        <f>IFERROR(INDEX(Расходка[Наименование расходного материала],MATCH(Расходка[[#This Row],[№]],Поиск_расходки[Индекс13],0)),"")</f>
        <v/>
      </c>
      <c r="AF84" s="4" t="s">
        <v>6</v>
      </c>
      <c r="AG84" s="4" t="s">
        <v>423</v>
      </c>
    </row>
    <row r="85" spans="1:33">
      <c r="E85" s="196">
        <f>IF(ISNUMBER(SEARCH('Карта учёта'!$B$13,Расходка[[#This Row],[Наименование расходного материала]])),MAX($E$1:E84)+1,0)</f>
        <v>0</v>
      </c>
      <c r="F85" s="196">
        <f>IF(ISNUMBER(SEARCH('Карта учёта'!$B$14,Расходка[[#This Row],[Наименование расходного материала]])),MAX($F$1:F84)+1,0)</f>
        <v>0</v>
      </c>
      <c r="G85" s="196">
        <f>IF(ISNUMBER(SEARCH('Карта учёта'!$B$15,Расходка[[#This Row],[Наименование расходного материала]])),MAX($G$1:G84)+1,0)</f>
        <v>0</v>
      </c>
      <c r="H85" s="196">
        <f>IF(ISNUMBER(SEARCH('Карта учёта'!$B$16,Расходка[[#This Row],[Наименование расходного материала]])),MAX($H$1:H84)+1,0)</f>
        <v>0</v>
      </c>
      <c r="I85" s="196">
        <f>IF(ISNUMBER(SEARCH('Карта учёта'!$B$17,Расходка[[#This Row],[Наименование расходного материала]])),MAX($I$1:I84)+1,0)</f>
        <v>0</v>
      </c>
      <c r="J85" s="196">
        <f>IF(ISNUMBER(SEARCH('Карта учёта'!$B$18,Расходка[[#This Row],[Наименование расходного материала]])),MAX($J$1:J84)+1,0)</f>
        <v>0</v>
      </c>
      <c r="K85" s="196">
        <f>IF(ISNUMBER(SEARCH('Карта учёта'!$B$19,Расходка[[#This Row],[Наименование расходного материала]])),MAX($K$1:K84)+1,0)</f>
        <v>0</v>
      </c>
      <c r="L85" s="196">
        <f>IF(ISNUMBER(SEARCH('Карта учёта'!$B$20,Расходка[[#This Row],[Наименование расходного материала]])),MAX($L$1:L84)+1,0)</f>
        <v>0</v>
      </c>
      <c r="M85" s="196">
        <f>IF(ISNUMBER(SEARCH('Карта учёта'!$B$21,Расходка[[#This Row],[Наименование расходного материала]])),MAX($M$1:M84)+1,0)</f>
        <v>0</v>
      </c>
      <c r="N85" s="196">
        <f>IF(ISNUMBER(SEARCH('Карта учёта'!$B$22,Расходка[[#This Row],[Наименование расходного материала]])),MAX($N$1:N84)+1,0)</f>
        <v>0</v>
      </c>
      <c r="O85" s="196">
        <f>IF(ISNUMBER(SEARCH('Карта учёта'!$B$23,Расходка[[#This Row],[Наименование расходного материала]])),MAX($O$1:O84)+1,0)</f>
        <v>0</v>
      </c>
      <c r="P85" s="196">
        <f>IF(ISNUMBER(SEARCH('Карта учёта'!$B$24,Расходка[[#This Row],[Наименование расходного материала]])),MAX($P$1:P84)+1,0)</f>
        <v>0</v>
      </c>
      <c r="Q85" s="196">
        <f>IF(ISNUMBER(SEARCH('Карта учёта'!$B$25,Расходка[[#This Row],[Наименование расходного материала]])),MAX($Q$1:Q84)+1,0)</f>
        <v>0</v>
      </c>
      <c r="R85" s="197" t="str">
        <f>IFERROR(INDEX(Расходка[Наименование расходного материала],MATCH(Расходка[[#This Row],[№]],Поиск_расходки[Индекс1],0)),"")</f>
        <v/>
      </c>
      <c r="S85" s="197" t="str">
        <f>IFERROR(INDEX(Расходка[Наименование расходного материала],MATCH(Расходка[[#This Row],[№]],Поиск_расходки[Индекс2],0)),"")</f>
        <v/>
      </c>
      <c r="T85" s="197" t="str">
        <f>IFERROR(INDEX(Расходка[Наименование расходного материала],MATCH(Расходка[[#This Row],[№]],Поиск_расходки[Индекс3],0)),"")</f>
        <v/>
      </c>
      <c r="U85" s="197" t="str">
        <f>IFERROR(INDEX(Расходка[Наименование расходного материала],MATCH(Расходка[[#This Row],[№]],Поиск_расходки[Индекс4],0)),"")</f>
        <v/>
      </c>
      <c r="V85" s="197" t="str">
        <f>IFERROR(INDEX(Расходка[Наименование расходного материала],MATCH(Расходка[[#This Row],[№]],Поиск_расходки[Индекс5],0)),"")</f>
        <v/>
      </c>
      <c r="W85" s="197" t="str">
        <f>IFERROR(INDEX(Расходка[Наименование расходного материала],MATCH(Расходка[[#This Row],[№]],Поиск_расходки[Индекс6],0)),"")</f>
        <v/>
      </c>
      <c r="X85" s="197" t="str">
        <f>IFERROR(INDEX(Расходка[Наименование расходного материала],MATCH(Расходка[[#This Row],[№]],Поиск_расходки[Индекс7],0)),"")</f>
        <v/>
      </c>
      <c r="Y85" s="197" t="str">
        <f>IFERROR(INDEX(Расходка[Наименование расходного материала],MATCH(Расходка[[#This Row],[№]],Поиск_расходки[Индекс8],0)),"")</f>
        <v/>
      </c>
      <c r="Z85" s="197" t="str">
        <f>IFERROR(INDEX(Расходка[Наименование расходного материала],MATCH(Расходка[[#This Row],[№]],Поиск_расходки[Индекс9],0)),"")</f>
        <v/>
      </c>
      <c r="AA85" s="197" t="str">
        <f>IFERROR(INDEX(Расходка[Наименование расходного материала],MATCH(Расходка[[#This Row],[№]],Поиск_расходки[Индекс10],0)),"")</f>
        <v/>
      </c>
      <c r="AB85" s="197" t="str">
        <f>IFERROR(INDEX(Расходка[Наименование расходного материала],MATCH(Расходка[[#This Row],[№]],Поиск_расходки[Индекс11],0)),"")</f>
        <v/>
      </c>
      <c r="AC85" s="197" t="str">
        <f>IFERROR(INDEX(Расходка[Наименование расходного материала],MATCH(Расходка[[#This Row],[№]],Поиск_расходки[Индекс12],0)),"")</f>
        <v/>
      </c>
      <c r="AD85" s="197" t="str">
        <f>IFERROR(INDEX(Расходка[Наименование расходного материала],MATCH(Расходка[[#This Row],[№]],Поиск_расходки[Индекс13],0)),"")</f>
        <v/>
      </c>
      <c r="AF85" s="4" t="s">
        <v>6</v>
      </c>
      <c r="AG85" s="4" t="s">
        <v>424</v>
      </c>
    </row>
    <row r="86" spans="1:33">
      <c r="E86" s="196">
        <f>IF(ISNUMBER(SEARCH('Карта учёта'!$B$13,Расходка[[#This Row],[Наименование расходного материала]])),MAX($E$1:E85)+1,0)</f>
        <v>0</v>
      </c>
      <c r="F86" s="196">
        <f>IF(ISNUMBER(SEARCH('Карта учёта'!$B$14,Расходка[[#This Row],[Наименование расходного материала]])),MAX($F$1:F85)+1,0)</f>
        <v>0</v>
      </c>
      <c r="G86" s="196">
        <f>IF(ISNUMBER(SEARCH('Карта учёта'!$B$15,Расходка[[#This Row],[Наименование расходного материала]])),MAX($G$1:G85)+1,0)</f>
        <v>0</v>
      </c>
      <c r="H86" s="196">
        <f>IF(ISNUMBER(SEARCH('Карта учёта'!$B$16,Расходка[[#This Row],[Наименование расходного материала]])),MAX($H$1:H85)+1,0)</f>
        <v>0</v>
      </c>
      <c r="I86" s="196">
        <f>IF(ISNUMBER(SEARCH('Карта учёта'!$B$17,Расходка[[#This Row],[Наименование расходного материала]])),MAX($I$1:I85)+1,0)</f>
        <v>0</v>
      </c>
      <c r="J86" s="196">
        <f>IF(ISNUMBER(SEARCH('Карта учёта'!$B$18,Расходка[[#This Row],[Наименование расходного материала]])),MAX($J$1:J85)+1,0)</f>
        <v>0</v>
      </c>
      <c r="K86" s="196">
        <f>IF(ISNUMBER(SEARCH('Карта учёта'!$B$19,Расходка[[#This Row],[Наименование расходного материала]])),MAX($K$1:K85)+1,0)</f>
        <v>0</v>
      </c>
      <c r="L86" s="196">
        <f>IF(ISNUMBER(SEARCH('Карта учёта'!$B$20,Расходка[[#This Row],[Наименование расходного материала]])),MAX($L$1:L85)+1,0)</f>
        <v>0</v>
      </c>
      <c r="M86" s="196">
        <f>IF(ISNUMBER(SEARCH('Карта учёта'!$B$21,Расходка[[#This Row],[Наименование расходного материала]])),MAX($M$1:M85)+1,0)</f>
        <v>0</v>
      </c>
      <c r="N86" s="196">
        <f>IF(ISNUMBER(SEARCH('Карта учёта'!$B$22,Расходка[[#This Row],[Наименование расходного материала]])),MAX($N$1:N85)+1,0)</f>
        <v>0</v>
      </c>
      <c r="O86" s="196">
        <f>IF(ISNUMBER(SEARCH('Карта учёта'!$B$23,Расходка[[#This Row],[Наименование расходного материала]])),MAX($O$1:O85)+1,0)</f>
        <v>0</v>
      </c>
      <c r="P86" s="196">
        <f>IF(ISNUMBER(SEARCH('Карта учёта'!$B$24,Расходка[[#This Row],[Наименование расходного материала]])),MAX($P$1:P85)+1,0)</f>
        <v>0</v>
      </c>
      <c r="Q86" s="196">
        <f>IF(ISNUMBER(SEARCH('Карта учёта'!$B$25,Расходка[[#This Row],[Наименование расходного материала]])),MAX($Q$1:Q85)+1,0)</f>
        <v>0</v>
      </c>
      <c r="R86" s="197" t="str">
        <f>IFERROR(INDEX(Расходка[Наименование расходного материала],MATCH(Расходка[[#This Row],[№]],Поиск_расходки[Индекс1],0)),"")</f>
        <v/>
      </c>
      <c r="S86" s="197" t="str">
        <f>IFERROR(INDEX(Расходка[Наименование расходного материала],MATCH(Расходка[[#This Row],[№]],Поиск_расходки[Индекс2],0)),"")</f>
        <v/>
      </c>
      <c r="T86" s="197" t="str">
        <f>IFERROR(INDEX(Расходка[Наименование расходного материала],MATCH(Расходка[[#This Row],[№]],Поиск_расходки[Индекс3],0)),"")</f>
        <v/>
      </c>
      <c r="U86" s="197" t="str">
        <f>IFERROR(INDEX(Расходка[Наименование расходного материала],MATCH(Расходка[[#This Row],[№]],Поиск_расходки[Индекс4],0)),"")</f>
        <v/>
      </c>
      <c r="V86" s="197" t="str">
        <f>IFERROR(INDEX(Расходка[Наименование расходного материала],MATCH(Расходка[[#This Row],[№]],Поиск_расходки[Индекс5],0)),"")</f>
        <v/>
      </c>
      <c r="W86" s="197" t="str">
        <f>IFERROR(INDEX(Расходка[Наименование расходного материала],MATCH(Расходка[[#This Row],[№]],Поиск_расходки[Индекс6],0)),"")</f>
        <v/>
      </c>
      <c r="X86" s="197" t="str">
        <f>IFERROR(INDEX(Расходка[Наименование расходного материала],MATCH(Расходка[[#This Row],[№]],Поиск_расходки[Индекс7],0)),"")</f>
        <v/>
      </c>
      <c r="Y86" s="197" t="str">
        <f>IFERROR(INDEX(Расходка[Наименование расходного материала],MATCH(Расходка[[#This Row],[№]],Поиск_расходки[Индекс8],0)),"")</f>
        <v/>
      </c>
      <c r="Z86" s="197" t="str">
        <f>IFERROR(INDEX(Расходка[Наименование расходного материала],MATCH(Расходка[[#This Row],[№]],Поиск_расходки[Индекс9],0)),"")</f>
        <v/>
      </c>
      <c r="AA86" s="197" t="str">
        <f>IFERROR(INDEX(Расходка[Наименование расходного материала],MATCH(Расходка[[#This Row],[№]],Поиск_расходки[Индекс10],0)),"")</f>
        <v/>
      </c>
      <c r="AB86" s="197" t="str">
        <f>IFERROR(INDEX(Расходка[Наименование расходного материала],MATCH(Расходка[[#This Row],[№]],Поиск_расходки[Индекс11],0)),"")</f>
        <v/>
      </c>
      <c r="AC86" s="197" t="str">
        <f>IFERROR(INDEX(Расходка[Наименование расходного материала],MATCH(Расходка[[#This Row],[№]],Поиск_расходки[Индекс12],0)),"")</f>
        <v/>
      </c>
      <c r="AD86" s="197" t="str">
        <f>IFERROR(INDEX(Расходка[Наименование расходного материала],MATCH(Расходка[[#This Row],[№]],Поиск_расходки[Индекс13],0)),"")</f>
        <v/>
      </c>
      <c r="AF86" s="4" t="s">
        <v>6</v>
      </c>
      <c r="AG86" s="4" t="s">
        <v>473</v>
      </c>
    </row>
    <row r="87" spans="1:33">
      <c r="AF87" s="4" t="s">
        <v>6</v>
      </c>
      <c r="AG87" s="4" t="s">
        <v>474</v>
      </c>
    </row>
    <row r="88" spans="1:33">
      <c r="AF88" s="4" t="s">
        <v>6</v>
      </c>
      <c r="AG88" s="4" t="s">
        <v>475</v>
      </c>
    </row>
    <row r="89" spans="1:33">
      <c r="AF89" s="4" t="s">
        <v>6</v>
      </c>
      <c r="AG89" s="4" t="s">
        <v>476</v>
      </c>
    </row>
    <row r="90" spans="1:33">
      <c r="AF90" s="4" t="s">
        <v>6</v>
      </c>
      <c r="AG90" s="4" t="s">
        <v>477</v>
      </c>
    </row>
    <row r="91" spans="1:33">
      <c r="AF91" s="4" t="s">
        <v>6</v>
      </c>
      <c r="AG91" s="4" t="s">
        <v>478</v>
      </c>
    </row>
    <row r="92" spans="1:33">
      <c r="AF92" s="4" t="s">
        <v>6</v>
      </c>
      <c r="AG92" s="4" t="s">
        <v>479</v>
      </c>
    </row>
    <row r="93" spans="1:33">
      <c r="AF93" s="4" t="s">
        <v>6</v>
      </c>
      <c r="AG93" s="4" t="s">
        <v>480</v>
      </c>
    </row>
    <row r="94" spans="1:33">
      <c r="AF94" s="4" t="s">
        <v>6</v>
      </c>
      <c r="AG94" s="4" t="s">
        <v>427</v>
      </c>
    </row>
    <row r="95" spans="1:33">
      <c r="AF95" s="4" t="s">
        <v>6</v>
      </c>
      <c r="AG95" s="4" t="s">
        <v>428</v>
      </c>
    </row>
    <row r="96" spans="1:33">
      <c r="AF96" s="4" t="s">
        <v>6</v>
      </c>
      <c r="AG96" s="4" t="s">
        <v>481</v>
      </c>
    </row>
    <row r="97" spans="32:33">
      <c r="AF97" s="4" t="s">
        <v>6</v>
      </c>
      <c r="AG97" s="4" t="s">
        <v>482</v>
      </c>
    </row>
  </sheetData>
  <sheetProtection sheet="1" objects="1" scenarios="1" formatCells="0" formatColumns="0"/>
  <phoneticPr fontId="14" type="noConversion"/>
  <dataValidations count="1">
    <dataValidation type="list" allowBlank="1" showInputMessage="1" showErrorMessage="1" sqref="B2:B81">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topLeftCell="A26" zoomScale="90" zoomScaleNormal="90" workbookViewId="0">
      <selection activeCell="B49" sqref="B49"/>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112</v>
      </c>
      <c r="B1" t="s">
        <v>111</v>
      </c>
      <c r="C1" t="s">
        <v>113</v>
      </c>
      <c r="E1" t="s">
        <v>175</v>
      </c>
    </row>
    <row r="2" spans="1:5">
      <c r="A2" t="s">
        <v>134</v>
      </c>
      <c r="B2" t="s">
        <v>107</v>
      </c>
      <c r="C2" t="str">
        <f t="shared" ref="C2:C17" si="0">CONCATENATE(A2,B2)</f>
        <v xml:space="preserve">Заведующий отделения: Д.В. Карчевский </v>
      </c>
      <c r="E2" t="s">
        <v>172</v>
      </c>
    </row>
    <row r="3" spans="1:5">
      <c r="A3" t="s">
        <v>124</v>
      </c>
      <c r="B3" t="s">
        <v>109</v>
      </c>
      <c r="C3" t="str">
        <f t="shared" si="0"/>
        <v xml:space="preserve">И/О заведующего отделения: В.Л. Мартынко </v>
      </c>
      <c r="E3" t="s">
        <v>179</v>
      </c>
    </row>
    <row r="4" spans="1:5">
      <c r="A4" t="s">
        <v>124</v>
      </c>
      <c r="B4" t="s">
        <v>116</v>
      </c>
      <c r="C4" t="str">
        <f>CONCATENATE(A4,B4)</f>
        <v xml:space="preserve">И/О заведующего отделения: А.В. Воронков </v>
      </c>
      <c r="E4" t="s">
        <v>173</v>
      </c>
    </row>
    <row r="5" spans="1:5">
      <c r="A5" t="s">
        <v>108</v>
      </c>
      <c r="B5" t="s">
        <v>118</v>
      </c>
      <c r="C5" t="str">
        <f t="shared" si="0"/>
        <v>Оператор: В.В. Анохин</v>
      </c>
      <c r="E5" t="s">
        <v>170</v>
      </c>
    </row>
    <row r="6" spans="1:5">
      <c r="A6" t="s">
        <v>108</v>
      </c>
      <c r="B6" t="s">
        <v>116</v>
      </c>
      <c r="C6" t="str">
        <f t="shared" si="0"/>
        <v xml:space="preserve">Оператор: А.В. Воронков </v>
      </c>
      <c r="E6" t="s">
        <v>302</v>
      </c>
    </row>
    <row r="7" spans="1:5">
      <c r="A7" t="s">
        <v>108</v>
      </c>
      <c r="B7" t="s">
        <v>119</v>
      </c>
      <c r="C7" t="str">
        <f t="shared" si="0"/>
        <v>Оператор: И.Н. Зимин</v>
      </c>
      <c r="E7" t="s">
        <v>180</v>
      </c>
    </row>
    <row r="8" spans="1:5">
      <c r="A8" t="s">
        <v>108</v>
      </c>
      <c r="B8" t="s">
        <v>107</v>
      </c>
      <c r="C8" t="str">
        <f t="shared" si="0"/>
        <v xml:space="preserve">Оператор: Д.В. Карчевский </v>
      </c>
      <c r="E8" t="s">
        <v>181</v>
      </c>
    </row>
    <row r="9" spans="1:5">
      <c r="A9" t="s">
        <v>108</v>
      </c>
      <c r="B9" t="s">
        <v>109</v>
      </c>
      <c r="C9" t="str">
        <f t="shared" si="0"/>
        <v xml:space="preserve">Оператор: В.Л. Мартынко </v>
      </c>
      <c r="E9" t="s">
        <v>182</v>
      </c>
    </row>
    <row r="10" spans="1:5">
      <c r="A10" t="s">
        <v>108</v>
      </c>
      <c r="B10" t="s">
        <v>114</v>
      </c>
      <c r="C10" t="str">
        <f t="shared" si="0"/>
        <v xml:space="preserve">Оператор: А.С. Меренков </v>
      </c>
      <c r="E10" t="s">
        <v>183</v>
      </c>
    </row>
    <row r="11" spans="1:5">
      <c r="A11" t="s">
        <v>108</v>
      </c>
      <c r="B11" t="s">
        <v>117</v>
      </c>
      <c r="C11" t="str">
        <f t="shared" si="0"/>
        <v xml:space="preserve">Оператор: О.В. Мещеряков </v>
      </c>
      <c r="E11" t="s">
        <v>184</v>
      </c>
    </row>
    <row r="12" spans="1:5">
      <c r="A12" t="s">
        <v>108</v>
      </c>
      <c r="B12" t="s">
        <v>115</v>
      </c>
      <c r="C12" t="str">
        <f t="shared" si="0"/>
        <v xml:space="preserve">Оператор: И.А. Московский </v>
      </c>
    </row>
    <row r="13" spans="1:5">
      <c r="A13" t="s">
        <v>108</v>
      </c>
      <c r="B13" t="s">
        <v>121</v>
      </c>
      <c r="C13" t="str">
        <f>CONCATENATE(A13,B13)</f>
        <v>Оператор: А.Ф. Паращенко</v>
      </c>
    </row>
    <row r="14" spans="1:5">
      <c r="A14" t="s">
        <v>108</v>
      </c>
      <c r="B14" t="s">
        <v>110</v>
      </c>
      <c r="C14" t="str">
        <f t="shared" si="0"/>
        <v xml:space="preserve">Оператор: А.С. Щербаков </v>
      </c>
    </row>
    <row r="15" spans="1:5">
      <c r="A15" t="s">
        <v>120</v>
      </c>
      <c r="B15" t="s">
        <v>513</v>
      </c>
      <c r="C15" s="201" t="str">
        <f>CONCATENATE(A15,B15)</f>
        <v>Старшая мед.сетра: Н.Б. Шишкина</v>
      </c>
    </row>
    <row r="16" spans="1:5">
      <c r="A16" t="s">
        <v>120</v>
      </c>
      <c r="B16" t="s">
        <v>122</v>
      </c>
      <c r="C16" t="str">
        <f>CONCATENATE(A16,B16)</f>
        <v>Старшая мед.сетра: О.Н. Черткова</v>
      </c>
    </row>
    <row r="17" spans="1:3">
      <c r="A17" t="s">
        <v>123</v>
      </c>
      <c r="B17" t="s">
        <v>348</v>
      </c>
      <c r="C17" t="str">
        <f t="shared" si="0"/>
        <v xml:space="preserve">И/О старшей мед.сетры: А.А. Нефёдова </v>
      </c>
    </row>
    <row r="18" spans="1:3">
      <c r="A18" t="s">
        <v>123</v>
      </c>
      <c r="B18" t="s">
        <v>347</v>
      </c>
      <c r="C18" t="str">
        <f>CONCATENATE(A18,B18)</f>
        <v>И/О старшей мед.сетры: А.М. Казанцева</v>
      </c>
    </row>
    <row r="19" spans="1:3">
      <c r="C19" s="201"/>
    </row>
    <row r="20" spans="1:3">
      <c r="C20" s="201"/>
    </row>
    <row r="21" spans="1:3">
      <c r="A21" t="s">
        <v>175</v>
      </c>
      <c r="B21" t="s">
        <v>174</v>
      </c>
    </row>
    <row r="22" spans="1:3">
      <c r="A22" t="s">
        <v>170</v>
      </c>
      <c r="B22" t="s">
        <v>267</v>
      </c>
    </row>
    <row r="23" spans="1:3">
      <c r="A23" t="s">
        <v>170</v>
      </c>
      <c r="B23" t="s">
        <v>176</v>
      </c>
    </row>
    <row r="24" spans="1:3">
      <c r="A24" t="s">
        <v>170</v>
      </c>
      <c r="B24" t="s">
        <v>303</v>
      </c>
    </row>
    <row r="25" spans="1:3">
      <c r="A25" t="s">
        <v>170</v>
      </c>
      <c r="B25" t="s">
        <v>250</v>
      </c>
    </row>
    <row r="26" spans="1:3">
      <c r="A26" t="s">
        <v>170</v>
      </c>
      <c r="B26" t="s">
        <v>264</v>
      </c>
    </row>
    <row r="27" spans="1:3">
      <c r="A27" t="s">
        <v>170</v>
      </c>
      <c r="B27" t="s">
        <v>268</v>
      </c>
    </row>
    <row r="28" spans="1:3">
      <c r="A28" t="s">
        <v>170</v>
      </c>
      <c r="B28" t="s">
        <v>256</v>
      </c>
    </row>
    <row r="29" spans="1:3">
      <c r="A29" t="s">
        <v>170</v>
      </c>
      <c r="B29" t="s">
        <v>255</v>
      </c>
    </row>
    <row r="30" spans="1:3">
      <c r="A30" t="s">
        <v>170</v>
      </c>
      <c r="B30" t="s">
        <v>521</v>
      </c>
    </row>
    <row r="31" spans="1:3">
      <c r="A31" t="s">
        <v>170</v>
      </c>
      <c r="B31" t="s">
        <v>254</v>
      </c>
    </row>
    <row r="32" spans="1:3">
      <c r="A32" t="s">
        <v>170</v>
      </c>
      <c r="B32" t="s">
        <v>270</v>
      </c>
    </row>
    <row r="33" spans="1:2">
      <c r="A33" t="s">
        <v>170</v>
      </c>
      <c r="B33" t="s">
        <v>351</v>
      </c>
    </row>
    <row r="34" spans="1:2">
      <c r="A34" t="s">
        <v>170</v>
      </c>
      <c r="B34" t="s">
        <v>263</v>
      </c>
    </row>
    <row r="35" spans="1:2">
      <c r="A35" t="s">
        <v>170</v>
      </c>
      <c r="B35" t="s">
        <v>249</v>
      </c>
    </row>
    <row r="36" spans="1:2">
      <c r="A36" t="s">
        <v>170</v>
      </c>
      <c r="B36" t="s">
        <v>253</v>
      </c>
    </row>
    <row r="37" spans="1:2">
      <c r="A37" t="s">
        <v>170</v>
      </c>
      <c r="B37" t="s">
        <v>248</v>
      </c>
    </row>
    <row r="38" spans="1:2">
      <c r="A38" t="s">
        <v>170</v>
      </c>
      <c r="B38" t="s">
        <v>362</v>
      </c>
    </row>
    <row r="39" spans="1:2">
      <c r="A39" t="s">
        <v>170</v>
      </c>
      <c r="B39" t="s">
        <v>504</v>
      </c>
    </row>
    <row r="40" spans="1:2">
      <c r="A40" t="s">
        <v>170</v>
      </c>
      <c r="B40" t="s">
        <v>266</v>
      </c>
    </row>
    <row r="41" spans="1:2">
      <c r="A41" t="s">
        <v>170</v>
      </c>
      <c r="B41" t="s">
        <v>265</v>
      </c>
    </row>
    <row r="42" spans="1:2">
      <c r="A42" t="s">
        <v>170</v>
      </c>
      <c r="B42" t="s">
        <v>257</v>
      </c>
    </row>
    <row r="43" spans="1:2">
      <c r="A43" t="s">
        <v>170</v>
      </c>
      <c r="B43" t="s">
        <v>251</v>
      </c>
    </row>
    <row r="44" spans="1:2">
      <c r="A44" t="s">
        <v>170</v>
      </c>
      <c r="B44" t="s">
        <v>252</v>
      </c>
    </row>
    <row r="45" spans="1:2">
      <c r="A45" t="s">
        <v>302</v>
      </c>
      <c r="B45" t="s">
        <v>260</v>
      </c>
    </row>
    <row r="46" spans="1:2">
      <c r="A46" t="s">
        <v>302</v>
      </c>
      <c r="B46" t="s">
        <v>261</v>
      </c>
    </row>
    <row r="47" spans="1:2">
      <c r="A47" t="s">
        <v>302</v>
      </c>
      <c r="B47" t="s">
        <v>262</v>
      </c>
    </row>
    <row r="48" spans="1:2">
      <c r="A48" t="s">
        <v>302</v>
      </c>
      <c r="B48" t="s">
        <v>522</v>
      </c>
    </row>
    <row r="49" spans="1:2">
      <c r="A49" t="s">
        <v>302</v>
      </c>
      <c r="B49" t="s">
        <v>178</v>
      </c>
    </row>
    <row r="50" spans="1:2">
      <c r="A50" t="s">
        <v>302</v>
      </c>
      <c r="B50" t="s">
        <v>258</v>
      </c>
    </row>
    <row r="51" spans="1:2">
      <c r="A51" t="s">
        <v>302</v>
      </c>
      <c r="B51" t="s">
        <v>269</v>
      </c>
    </row>
    <row r="52" spans="1:2">
      <c r="A52" t="s">
        <v>302</v>
      </c>
      <c r="B52" t="s">
        <v>177</v>
      </c>
    </row>
    <row r="53" spans="1:2">
      <c r="A53" t="s">
        <v>302</v>
      </c>
      <c r="B53" t="s">
        <v>502</v>
      </c>
    </row>
    <row r="54" spans="1:2">
      <c r="A54" t="s">
        <v>302</v>
      </c>
      <c r="B54" t="s">
        <v>259</v>
      </c>
    </row>
    <row r="55" spans="1:2">
      <c r="A55" t="s">
        <v>302</v>
      </c>
      <c r="B55" t="s">
        <v>367</v>
      </c>
    </row>
    <row r="56" spans="1:2">
      <c r="A56" t="s">
        <v>302</v>
      </c>
      <c r="B56" t="s">
        <v>363</v>
      </c>
    </row>
    <row r="57" spans="1:2">
      <c r="A57" t="s">
        <v>171</v>
      </c>
      <c r="B57" t="s">
        <v>144</v>
      </c>
    </row>
    <row r="58" spans="1:2">
      <c r="A58" t="s">
        <v>171</v>
      </c>
      <c r="B58" t="s">
        <v>147</v>
      </c>
    </row>
    <row r="59" spans="1:2">
      <c r="A59" t="s">
        <v>171</v>
      </c>
      <c r="B59" t="s">
        <v>150</v>
      </c>
    </row>
    <row r="60" spans="1:2">
      <c r="A60" t="s">
        <v>171</v>
      </c>
      <c r="B60" t="s">
        <v>153</v>
      </c>
    </row>
    <row r="61" spans="1:2">
      <c r="A61" t="s">
        <v>171</v>
      </c>
      <c r="B61" t="s">
        <v>156</v>
      </c>
    </row>
    <row r="62" spans="1:2">
      <c r="A62" t="s">
        <v>171</v>
      </c>
      <c r="B62" t="s">
        <v>159</v>
      </c>
    </row>
    <row r="63" spans="1:2">
      <c r="A63" t="s">
        <v>171</v>
      </c>
      <c r="B63" t="s">
        <v>164</v>
      </c>
    </row>
    <row r="64" spans="1:2">
      <c r="A64" t="s">
        <v>171</v>
      </c>
      <c r="B64" t="s">
        <v>275</v>
      </c>
    </row>
    <row r="65" spans="1:2">
      <c r="A65" t="s">
        <v>171</v>
      </c>
      <c r="B65" t="s">
        <v>166</v>
      </c>
    </row>
    <row r="66" spans="1:2">
      <c r="A66" t="s">
        <v>171</v>
      </c>
      <c r="B66" t="s">
        <v>167</v>
      </c>
    </row>
    <row r="67" spans="1:2">
      <c r="A67" t="s">
        <v>171</v>
      </c>
      <c r="B67" t="s">
        <v>168</v>
      </c>
    </row>
    <row r="68" spans="1:2">
      <c r="A68" t="s">
        <v>171</v>
      </c>
      <c r="B68" t="s">
        <v>169</v>
      </c>
    </row>
    <row r="69" spans="1:2">
      <c r="A69" t="s">
        <v>171</v>
      </c>
      <c r="B69" t="s">
        <v>141</v>
      </c>
    </row>
    <row r="70" spans="1:2">
      <c r="A70" t="s">
        <v>171</v>
      </c>
      <c r="B70" t="s">
        <v>185</v>
      </c>
    </row>
    <row r="71" spans="1:2">
      <c r="A71" t="s">
        <v>172</v>
      </c>
      <c r="B71" t="s">
        <v>340</v>
      </c>
    </row>
    <row r="72" spans="1:2">
      <c r="A72" t="s">
        <v>172</v>
      </c>
      <c r="B72" t="s">
        <v>143</v>
      </c>
    </row>
    <row r="73" spans="1:2">
      <c r="A73" t="s">
        <v>172</v>
      </c>
      <c r="B73" t="s">
        <v>365</v>
      </c>
    </row>
    <row r="74" spans="1:2">
      <c r="A74" t="s">
        <v>172</v>
      </c>
      <c r="B74" t="s">
        <v>146</v>
      </c>
    </row>
    <row r="75" spans="1:2">
      <c r="A75" t="s">
        <v>172</v>
      </c>
      <c r="B75" t="s">
        <v>140</v>
      </c>
    </row>
    <row r="76" spans="1:2">
      <c r="A76" t="s">
        <v>172</v>
      </c>
      <c r="B76" t="s">
        <v>149</v>
      </c>
    </row>
    <row r="77" spans="1:2">
      <c r="A77" t="s">
        <v>172</v>
      </c>
      <c r="B77" t="s">
        <v>152</v>
      </c>
    </row>
    <row r="78" spans="1:2">
      <c r="A78" t="s">
        <v>172</v>
      </c>
      <c r="B78" t="s">
        <v>155</v>
      </c>
    </row>
    <row r="79" spans="1:2">
      <c r="A79" t="s">
        <v>172</v>
      </c>
      <c r="B79" t="s">
        <v>158</v>
      </c>
    </row>
    <row r="80" spans="1:2">
      <c r="A80" t="s">
        <v>172</v>
      </c>
      <c r="B80" t="s">
        <v>161</v>
      </c>
    </row>
    <row r="81" spans="1:2">
      <c r="A81" t="s">
        <v>172</v>
      </c>
      <c r="B81" t="s">
        <v>163</v>
      </c>
    </row>
    <row r="82" spans="1:2">
      <c r="A82" t="s">
        <v>184</v>
      </c>
      <c r="B82" t="s">
        <v>142</v>
      </c>
    </row>
    <row r="83" spans="1:2">
      <c r="A83" t="s">
        <v>184</v>
      </c>
      <c r="B83" t="s">
        <v>274</v>
      </c>
    </row>
    <row r="84" spans="1:2">
      <c r="A84" t="s">
        <v>184</v>
      </c>
      <c r="B84" t="s">
        <v>145</v>
      </c>
    </row>
    <row r="85" spans="1:2">
      <c r="A85" t="s">
        <v>184</v>
      </c>
      <c r="B85" t="s">
        <v>148</v>
      </c>
    </row>
    <row r="86" spans="1:2">
      <c r="A86" t="s">
        <v>184</v>
      </c>
      <c r="B86" t="s">
        <v>151</v>
      </c>
    </row>
    <row r="87" spans="1:2">
      <c r="A87" t="s">
        <v>184</v>
      </c>
      <c r="B87" t="s">
        <v>154</v>
      </c>
    </row>
    <row r="88" spans="1:2">
      <c r="A88" t="s">
        <v>184</v>
      </c>
      <c r="B88" t="s">
        <v>160</v>
      </c>
    </row>
    <row r="89" spans="1:2">
      <c r="A89" t="s">
        <v>184</v>
      </c>
      <c r="B89" t="s">
        <v>157</v>
      </c>
    </row>
    <row r="90" spans="1:2">
      <c r="A90" t="s">
        <v>184</v>
      </c>
      <c r="B90" t="s">
        <v>162</v>
      </c>
    </row>
    <row r="91" spans="1:2">
      <c r="A91" t="s">
        <v>184</v>
      </c>
      <c r="B91" t="s">
        <v>165</v>
      </c>
    </row>
  </sheetData>
  <sheetProtection sheet="1" objects="1" scenarios="1"/>
  <phoneticPr fontId="14" type="noConversion"/>
  <dataValidations count="1">
    <dataValidation type="list" allowBlank="1" showInputMessage="1" showErrorMessage="1" sqref="A22:A91">
      <formula1>INDIRECT("Должность[Должность]")</formula1>
    </dataValidation>
  </dataValidations>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workbookViewId="0">
      <selection activeCell="F19" sqref="F19"/>
    </sheetView>
  </sheetViews>
  <sheetFormatPr defaultRowHeight="15"/>
  <cols>
    <col min="1" max="1" width="73.7109375" bestFit="1" customWidth="1"/>
  </cols>
  <sheetData>
    <row r="1" spans="1:1" ht="61.9" customHeight="1">
      <c r="A1" s="190" t="s">
        <v>380</v>
      </c>
    </row>
    <row r="2" spans="1:1">
      <c r="A2" t="s">
        <v>377</v>
      </c>
    </row>
    <row r="3" spans="1:1">
      <c r="A3" t="s">
        <v>381</v>
      </c>
    </row>
    <row r="4" spans="1:1">
      <c r="A4" t="s">
        <v>382</v>
      </c>
    </row>
    <row r="5" spans="1:1">
      <c r="A5" t="s">
        <v>378</v>
      </c>
    </row>
    <row r="6" spans="1:1">
      <c r="A6" t="s">
        <v>379</v>
      </c>
    </row>
    <row r="7" spans="1:1" ht="14.45" customHeight="1"/>
    <row r="8" spans="1:1" ht="14.45" customHeight="1"/>
    <row r="9" spans="1:1" ht="14.45" customHeight="1"/>
    <row r="10" spans="1:1" ht="14.45" customHeight="1"/>
    <row r="11" spans="1:1" ht="14.45" customHeight="1"/>
    <row r="12" spans="1:1" ht="14.45" customHeight="1"/>
    <row r="13" spans="1:1" ht="14.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4</vt:i4>
      </vt:variant>
    </vt:vector>
  </HeadingPairs>
  <TitlesOfParts>
    <vt:vector size="12" baseType="lpstr">
      <vt:lpstr>КАГ</vt:lpstr>
      <vt:lpstr>ЧКВ</vt:lpstr>
      <vt:lpstr>КАГ to 1C</vt:lpstr>
      <vt:lpstr>Карта учёта</vt:lpstr>
      <vt:lpstr>Вмешательства</vt:lpstr>
      <vt:lpstr>Расходный материал</vt:lpstr>
      <vt:lpstr>Сотрудники</vt:lpstr>
      <vt:lpstr>Остальное</vt:lpstr>
      <vt:lpstr>КАГ!Область_печати</vt:lpstr>
      <vt:lpstr>'КАГ to 1C'!Область_печати</vt:lpstr>
      <vt:lpstr>'Карта учёта'!Область_печати</vt:lpstr>
      <vt:lpstr>ЧКВ!Область_печати</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Экстренный Ангиограф</cp:lastModifiedBy>
  <cp:lastPrinted>2025-03-01T20:00:47Z</cp:lastPrinted>
  <dcterms:created xsi:type="dcterms:W3CDTF">2015-06-05T18:19:34Z</dcterms:created>
  <dcterms:modified xsi:type="dcterms:W3CDTF">2025-03-04T15:17:30Z</dcterms:modified>
</cp:coreProperties>
</file>