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9040" windowHeight="15840"/>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9" l="1"/>
  <c r="A6" i="1" l="1"/>
  <c r="A4" i="1"/>
  <c r="A59" i="1" l="1"/>
  <c r="A56" i="1" l="1"/>
  <c r="A55" i="1"/>
  <c r="A3" i="1"/>
  <c r="A5"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8" i="1"/>
  <c r="A60" i="1"/>
  <c r="A61" i="1"/>
  <c r="A62" i="1"/>
  <c r="A63" i="1"/>
  <c r="A64" i="1"/>
  <c r="A65" i="1"/>
  <c r="A66" i="1"/>
  <c r="A67" i="1"/>
  <c r="A68" i="1"/>
  <c r="A69" i="1"/>
  <c r="A70" i="1"/>
  <c r="A71" i="1"/>
  <c r="A72" i="1"/>
  <c r="A73" i="1"/>
  <c r="A74" i="1"/>
  <c r="A75" i="1"/>
  <c r="A76" i="1"/>
  <c r="A77" i="1"/>
  <c r="A78" i="1"/>
  <c r="A79" i="1"/>
  <c r="A80" i="1"/>
  <c r="A2" i="1"/>
  <c r="A1" i="11" l="1"/>
  <c r="A3" i="11"/>
  <c r="A18" i="3" l="1"/>
  <c r="C15" i="5" l="1"/>
  <c r="B15" i="9" l="1"/>
  <c r="E71" i="1" l="1"/>
  <c r="E72" i="1"/>
  <c r="E73" i="1"/>
  <c r="E74" i="1"/>
  <c r="E75" i="1"/>
  <c r="E76" i="1"/>
  <c r="E77" i="1"/>
  <c r="E78" i="1"/>
  <c r="F78" i="1"/>
  <c r="H78" i="1"/>
  <c r="C16" i="9" l="1"/>
  <c r="E69" i="1" l="1"/>
  <c r="E70"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H19" i="9" l="1"/>
  <c r="H20" i="9"/>
  <c r="H21" i="9"/>
  <c r="C4" i="5" l="1"/>
  <c r="C18"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Q9" i="1" s="1"/>
  <c r="J8" i="1"/>
  <c r="E11" i="1"/>
  <c r="E12" i="1" s="1"/>
  <c r="E13" i="1" s="1"/>
  <c r="E14" i="1" s="1"/>
  <c r="E15" i="1" s="1"/>
  <c r="M8" i="1"/>
  <c r="N10" i="1"/>
  <c r="I8" i="1"/>
  <c r="G9" i="1"/>
  <c r="H9" i="1"/>
  <c r="F8" i="1"/>
  <c r="K9" i="1"/>
  <c r="L10" i="1"/>
  <c r="O11" i="1" l="1"/>
  <c r="O12" i="1" s="1"/>
  <c r="O13" i="1" s="1"/>
  <c r="O14" i="1" s="1"/>
  <c r="O15" i="1" s="1"/>
  <c r="P10"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57" i="1"/>
  <c r="H23" i="1"/>
  <c r="K18" i="1"/>
  <c r="K19" i="1" s="1"/>
  <c r="K20" i="1" s="1"/>
  <c r="K21" i="1" s="1"/>
  <c r="K22" i="1" s="1"/>
  <c r="K23" i="1" s="1"/>
  <c r="K24" i="1" s="1"/>
  <c r="I25" i="1"/>
  <c r="I26" i="1" s="1"/>
  <c r="AD4" i="1"/>
  <c r="AD6" i="1"/>
  <c r="AD5" i="1"/>
  <c r="AD7" i="1"/>
  <c r="AD15" i="1"/>
  <c r="AD13" i="1"/>
  <c r="M21" i="1"/>
  <c r="L18" i="1"/>
  <c r="G16" i="1"/>
  <c r="G17" i="1" s="1"/>
  <c r="F20" i="1"/>
  <c r="AD59" i="1" l="1"/>
  <c r="O56" i="1"/>
  <c r="O57" i="1" s="1"/>
  <c r="P17" i="1"/>
  <c r="E66" i="1"/>
  <c r="Q62" i="1"/>
  <c r="J22" i="1"/>
  <c r="J23" i="1" s="1"/>
  <c r="J24" i="1" s="1"/>
  <c r="N20" i="1"/>
  <c r="N21" i="1" s="1"/>
  <c r="N22" i="1" s="1"/>
  <c r="K25" i="1"/>
  <c r="K26" i="1" s="1"/>
  <c r="K27" i="1" s="1"/>
  <c r="H24" i="1"/>
  <c r="AD18" i="1"/>
  <c r="G18" i="1"/>
  <c r="G19" i="1" s="1"/>
  <c r="G20" i="1" s="1"/>
  <c r="I27" i="1"/>
  <c r="M22" i="1"/>
  <c r="L19" i="1"/>
  <c r="L20" i="1" s="1"/>
  <c r="F21" i="1"/>
  <c r="AD60" i="1" l="1"/>
  <c r="O58" i="1"/>
  <c r="O59" i="1" s="1"/>
  <c r="P18" i="1"/>
  <c r="E67" i="1"/>
  <c r="Q63" i="1"/>
  <c r="Q64" i="1" s="1"/>
  <c r="Q65" i="1" s="1"/>
  <c r="Q66" i="1" s="1"/>
  <c r="K28" i="1"/>
  <c r="K29" i="1" s="1"/>
  <c r="AD26" i="1"/>
  <c r="G21" i="1"/>
  <c r="G22" i="1" s="1"/>
  <c r="G23" i="1" s="1"/>
  <c r="H25" i="1"/>
  <c r="I28" i="1"/>
  <c r="M23" i="1"/>
  <c r="J25" i="1"/>
  <c r="N23" i="1"/>
  <c r="L21" i="1"/>
  <c r="F22" i="1"/>
  <c r="AD62" i="1" l="1"/>
  <c r="AD61" i="1"/>
  <c r="O60" i="1"/>
  <c r="O61" i="1" s="1"/>
  <c r="O62" i="1" s="1"/>
  <c r="P19" i="1"/>
  <c r="E68" i="1"/>
  <c r="Q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7" i="1" l="1"/>
  <c r="R78" i="1"/>
  <c r="R75" i="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AD66" i="1" l="1"/>
  <c r="O64" i="1"/>
  <c r="P21" i="1"/>
  <c r="Q69" i="1"/>
  <c r="AD67" i="1" s="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O65" i="1" l="1"/>
  <c r="P22" i="1"/>
  <c r="Q70" i="1"/>
  <c r="J50" i="1"/>
  <c r="J51" i="1" s="1"/>
  <c r="H47" i="1"/>
  <c r="H48" i="1" s="1"/>
  <c r="I47" i="1"/>
  <c r="I48" i="1" s="1"/>
  <c r="I49" i="1" s="1"/>
  <c r="I50" i="1" s="1"/>
  <c r="K43" i="1"/>
  <c r="N27" i="1"/>
  <c r="M28" i="1"/>
  <c r="M29" i="1" s="1"/>
  <c r="L30" i="1"/>
  <c r="G29" i="1"/>
  <c r="F28" i="1"/>
  <c r="Q71" i="1" l="1"/>
  <c r="Q72" i="1" s="1"/>
  <c r="Q73" i="1" s="1"/>
  <c r="AD68" i="1"/>
  <c r="AD69" i="1"/>
  <c r="O66" i="1"/>
  <c r="O67" i="1" s="1"/>
  <c r="O68" i="1" s="1"/>
  <c r="P23" i="1"/>
  <c r="AD58" i="1"/>
  <c r="AD71"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AB2" i="1" l="1"/>
  <c r="O69" i="1"/>
  <c r="O70" i="1" s="1"/>
  <c r="O71" i="1" s="1"/>
  <c r="O72" i="1" s="1"/>
  <c r="Q74" i="1"/>
  <c r="AD72" i="1" s="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Q75" i="1" l="1"/>
  <c r="AD73" i="1" s="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N31" i="1"/>
  <c r="O74" i="1" l="1"/>
  <c r="Q76" i="1"/>
  <c r="AD74" i="1"/>
  <c r="P26" i="1"/>
  <c r="H65" i="1"/>
  <c r="J67"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AD36" i="1"/>
  <c r="G48" i="1"/>
  <c r="K48" i="1"/>
  <c r="L36" i="1"/>
  <c r="M35" i="1"/>
  <c r="N34" i="1"/>
  <c r="N35" i="1" s="1"/>
  <c r="N36" i="1" s="1"/>
  <c r="N37" i="1" s="1"/>
  <c r="N38" i="1" s="1"/>
  <c r="N39" i="1" s="1"/>
  <c r="N40" i="1" s="1"/>
  <c r="N41" i="1" s="1"/>
  <c r="N42" i="1" s="1"/>
  <c r="Q78" i="1" l="1"/>
  <c r="AD78" i="1" s="1"/>
  <c r="AD75" i="1"/>
  <c r="O77" i="1"/>
  <c r="AD76" i="1"/>
  <c r="P28" i="1"/>
  <c r="I67" i="1"/>
  <c r="I68" i="1" s="1"/>
  <c r="I69" i="1" s="1"/>
  <c r="H67" i="1"/>
  <c r="J69" i="1"/>
  <c r="AD37" i="1"/>
  <c r="F53" i="1"/>
  <c r="F54" i="1" s="1"/>
  <c r="F55" i="1" s="1"/>
  <c r="F56" i="1" s="1"/>
  <c r="F57" i="1" s="1"/>
  <c r="F58" i="1" s="1"/>
  <c r="F59" i="1" s="1"/>
  <c r="F60" i="1" s="1"/>
  <c r="F61" i="1" s="1"/>
  <c r="F62" i="1" s="1"/>
  <c r="K49" i="1"/>
  <c r="K50" i="1" s="1"/>
  <c r="G49" i="1"/>
  <c r="N43" i="1"/>
  <c r="L37" i="1"/>
  <c r="M36" i="1"/>
  <c r="O78" i="1" l="1"/>
  <c r="AB67" i="1" s="1"/>
  <c r="AD77" i="1"/>
  <c r="P29" i="1"/>
  <c r="J70" i="1"/>
  <c r="I70" i="1"/>
  <c r="H68" i="1"/>
  <c r="H69" i="1" s="1"/>
  <c r="H70" i="1" s="1"/>
  <c r="H71" i="1" s="1"/>
  <c r="H72" i="1" s="1"/>
  <c r="F63" i="1"/>
  <c r="F64" i="1" s="1"/>
  <c r="F65" i="1" s="1"/>
  <c r="F66" i="1" s="1"/>
  <c r="F67" i="1" s="1"/>
  <c r="F68" i="1" s="1"/>
  <c r="F69" i="1" s="1"/>
  <c r="K51" i="1"/>
  <c r="G50" i="1"/>
  <c r="AD38" i="1"/>
  <c r="N44" i="1"/>
  <c r="L38" i="1"/>
  <c r="L39" i="1" s="1"/>
  <c r="M37" i="1"/>
  <c r="AB43" i="1" l="1"/>
  <c r="AB73" i="1"/>
  <c r="AB31" i="1"/>
  <c r="AB59" i="1"/>
  <c r="AB42" i="1"/>
  <c r="AB60"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V2" i="1"/>
  <c r="P30" i="1"/>
  <c r="H73" i="1"/>
  <c r="J71" i="1"/>
  <c r="I71" i="1"/>
  <c r="F70" i="1"/>
  <c r="F71" i="1" s="1"/>
  <c r="F72" i="1" s="1"/>
  <c r="F73" i="1" s="1"/>
  <c r="K52" i="1"/>
  <c r="K53" i="1" s="1"/>
  <c r="G51" i="1"/>
  <c r="AD39" i="1"/>
  <c r="AB46" i="1"/>
  <c r="N45" i="1"/>
  <c r="L40" i="1"/>
  <c r="M38" i="1"/>
  <c r="M39" i="1" s="1"/>
  <c r="M40" i="1" s="1"/>
  <c r="H74" i="1" l="1"/>
  <c r="F74" i="1"/>
  <c r="F75" i="1" s="1"/>
  <c r="F76" i="1" s="1"/>
  <c r="F77"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S77" i="1" l="1"/>
  <c r="S78" i="1"/>
  <c r="S2" i="1"/>
  <c r="S66"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H76" i="1" l="1"/>
  <c r="H77" i="1" s="1"/>
  <c r="U53" i="1" s="1"/>
  <c r="J74" i="1"/>
  <c r="I74" i="1"/>
  <c r="P33" i="1"/>
  <c r="K68" i="1"/>
  <c r="G54" i="1"/>
  <c r="R2" i="1"/>
  <c r="N51" i="1"/>
  <c r="N52" i="1" s="1"/>
  <c r="N53" i="1" s="1"/>
  <c r="N54" i="1" s="1"/>
  <c r="N55" i="1" s="1"/>
  <c r="AB45" i="1"/>
  <c r="M43" i="1"/>
  <c r="L43" i="1"/>
  <c r="U2" i="1" l="1"/>
  <c r="U64" i="1"/>
  <c r="U46" i="1"/>
  <c r="U66" i="1"/>
  <c r="U51" i="1"/>
  <c r="U57" i="1"/>
  <c r="U70" i="1"/>
  <c r="U47" i="1"/>
  <c r="U52" i="1"/>
  <c r="U56" i="1"/>
  <c r="U45" i="1"/>
  <c r="U44" i="1"/>
  <c r="U61" i="1"/>
  <c r="U41" i="1"/>
  <c r="U59" i="1"/>
  <c r="U69" i="1"/>
  <c r="U54" i="1"/>
  <c r="U58" i="1"/>
  <c r="U72" i="1"/>
  <c r="U55" i="1"/>
  <c r="U40" i="1"/>
  <c r="U73" i="1"/>
  <c r="U42" i="1"/>
  <c r="U60" i="1"/>
  <c r="U68" i="1"/>
  <c r="U39" i="1"/>
  <c r="U75" i="1"/>
  <c r="U63" i="1"/>
  <c r="U74" i="1"/>
  <c r="U49" i="1"/>
  <c r="U67" i="1"/>
  <c r="U43" i="1"/>
  <c r="U71" i="1"/>
  <c r="U62" i="1"/>
  <c r="U48" i="1"/>
  <c r="U50" i="1"/>
  <c r="U65" i="1"/>
  <c r="U78" i="1"/>
  <c r="U76" i="1"/>
  <c r="U77" i="1"/>
  <c r="J75" i="1"/>
  <c r="I75" i="1"/>
  <c r="P34" i="1"/>
  <c r="K69" i="1"/>
  <c r="N56" i="1"/>
  <c r="N57" i="1" s="1"/>
  <c r="N58" i="1" s="1"/>
  <c r="G55"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I76" i="1" l="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I77" i="1" l="1"/>
  <c r="J77" i="1"/>
  <c r="J78" i="1" s="1"/>
  <c r="W2" i="1" s="1"/>
  <c r="P36" i="1"/>
  <c r="K72" i="1"/>
  <c r="N60" i="1"/>
  <c r="G57" i="1"/>
  <c r="G58" i="1" s="1"/>
  <c r="G59" i="1" s="1"/>
  <c r="G60" i="1" s="1"/>
  <c r="AD20" i="1"/>
  <c r="AB3" i="1"/>
  <c r="R3" i="1"/>
  <c r="AD14" i="1"/>
  <c r="AD54" i="1"/>
  <c r="AD53" i="1"/>
  <c r="M49" i="1"/>
  <c r="L48" i="1"/>
  <c r="I78" i="1" l="1"/>
  <c r="V50" i="1" s="1"/>
  <c r="W54" i="1"/>
  <c r="W78" i="1"/>
  <c r="W77" i="1"/>
  <c r="W51" i="1"/>
  <c r="W74" i="1"/>
  <c r="W64" i="1"/>
  <c r="W58" i="1"/>
  <c r="W57" i="1"/>
  <c r="W56" i="1"/>
  <c r="W65" i="1"/>
  <c r="W45" i="1"/>
  <c r="W60" i="1"/>
  <c r="W39" i="1"/>
  <c r="W62" i="1"/>
  <c r="W46" i="1"/>
  <c r="W67" i="1"/>
  <c r="W59" i="1"/>
  <c r="W52" i="1"/>
  <c r="W3" i="1"/>
  <c r="W76" i="1"/>
  <c r="W70" i="1"/>
  <c r="W72" i="1"/>
  <c r="W73" i="1"/>
  <c r="W68" i="1"/>
  <c r="W55" i="1"/>
  <c r="W44" i="1"/>
  <c r="W61" i="1"/>
  <c r="W40" i="1"/>
  <c r="W53" i="1"/>
  <c r="W47" i="1"/>
  <c r="W41" i="1"/>
  <c r="W43" i="1"/>
  <c r="W63" i="1"/>
  <c r="W49" i="1"/>
  <c r="W66" i="1"/>
  <c r="V74" i="1"/>
  <c r="V70" i="1"/>
  <c r="V42" i="1"/>
  <c r="V39" i="1"/>
  <c r="V73" i="1"/>
  <c r="V68" i="1"/>
  <c r="V52" i="1"/>
  <c r="V63" i="1"/>
  <c r="V49" i="1"/>
  <c r="V45" i="1"/>
  <c r="V59" i="1"/>
  <c r="V75" i="1"/>
  <c r="V41" i="1"/>
  <c r="V51" i="1"/>
  <c r="V67" i="1"/>
  <c r="V46" i="1"/>
  <c r="V54" i="1"/>
  <c r="V72" i="1"/>
  <c r="V48" i="1"/>
  <c r="V53" i="1"/>
  <c r="V56" i="1"/>
  <c r="V40" i="1"/>
  <c r="V61" i="1"/>
  <c r="V64" i="1"/>
  <c r="V66" i="1"/>
  <c r="V43" i="1"/>
  <c r="V44" i="1"/>
  <c r="V69" i="1"/>
  <c r="V60" i="1"/>
  <c r="V57" i="1"/>
  <c r="V71" i="1"/>
  <c r="V7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V47" i="1" l="1"/>
  <c r="V62" i="1"/>
  <c r="V65" i="1"/>
  <c r="V55" i="1"/>
  <c r="V58" i="1"/>
  <c r="V77" i="1"/>
  <c r="V78" i="1"/>
  <c r="V7" i="1"/>
  <c r="V13" i="1"/>
  <c r="V5" i="1"/>
  <c r="V17" i="1"/>
  <c r="V23" i="1"/>
  <c r="V32" i="1"/>
  <c r="V21" i="1"/>
  <c r="V24" i="1"/>
  <c r="V30" i="1"/>
  <c r="V3" i="1"/>
  <c r="V6" i="1"/>
  <c r="V25" i="1"/>
  <c r="V35" i="1"/>
  <c r="V18" i="1"/>
  <c r="V4" i="1"/>
  <c r="V12" i="1"/>
  <c r="V36" i="1"/>
  <c r="V31" i="1"/>
  <c r="V28" i="1"/>
  <c r="V9" i="1"/>
  <c r="V10" i="1"/>
  <c r="V14" i="1"/>
  <c r="V20" i="1"/>
  <c r="V27" i="1"/>
  <c r="V37" i="1"/>
  <c r="V22" i="1"/>
  <c r="V16" i="1"/>
  <c r="V33" i="1"/>
  <c r="V8" i="1"/>
  <c r="V34" i="1"/>
  <c r="V15" i="1"/>
  <c r="V29" i="1"/>
  <c r="V11" i="1"/>
  <c r="V19" i="1"/>
  <c r="V26" i="1"/>
  <c r="V38" i="1"/>
  <c r="N67" i="1"/>
  <c r="N68" i="1" s="1"/>
  <c r="K74" i="1"/>
  <c r="P38" i="1"/>
  <c r="G62" i="1"/>
  <c r="G63" i="1" s="1"/>
  <c r="M51" i="1"/>
  <c r="M52" i="1" s="1"/>
  <c r="M53" i="1" s="1"/>
  <c r="L50" i="1"/>
  <c r="K75" i="1" l="1"/>
  <c r="P39" i="1"/>
  <c r="N69" i="1"/>
  <c r="G64" i="1"/>
  <c r="M54" i="1"/>
  <c r="M55" i="1" s="1"/>
  <c r="L51" i="1"/>
  <c r="L52" i="1" s="1"/>
  <c r="L53" i="1" s="1"/>
  <c r="K76" i="1" l="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P42" i="1" l="1"/>
  <c r="X56" i="1"/>
  <c r="X78" i="1"/>
  <c r="G73" i="1"/>
  <c r="X26" i="1"/>
  <c r="X6" i="1"/>
  <c r="X42" i="1"/>
  <c r="X48" i="1"/>
  <c r="X45" i="1"/>
  <c r="X29" i="1"/>
  <c r="X67" i="1"/>
  <c r="X59" i="1"/>
  <c r="X34" i="1"/>
  <c r="X72" i="1"/>
  <c r="X10" i="1"/>
  <c r="X74" i="1"/>
  <c r="X53" i="1"/>
  <c r="X65" i="1"/>
  <c r="X73" i="1"/>
  <c r="X71" i="1"/>
  <c r="X50" i="1"/>
  <c r="X4" i="1"/>
  <c r="X41" i="1"/>
  <c r="X77" i="1"/>
  <c r="X16" i="1"/>
  <c r="X23" i="1"/>
  <c r="X37" i="1"/>
  <c r="X54" i="1"/>
  <c r="X44" i="1"/>
  <c r="X66" i="1"/>
  <c r="X24" i="1"/>
  <c r="X13" i="1"/>
  <c r="X39" i="1"/>
  <c r="X9" i="1"/>
  <c r="X43" i="1"/>
  <c r="X2" i="1"/>
  <c r="X11" i="1"/>
  <c r="X47" i="1"/>
  <c r="X38" i="1"/>
  <c r="X32" i="1"/>
  <c r="X3" i="1"/>
  <c r="X76" i="1"/>
  <c r="X20" i="1"/>
  <c r="X40" i="1"/>
  <c r="X12" i="1"/>
  <c r="X8" i="1"/>
  <c r="X17" i="1"/>
  <c r="X14" i="1"/>
  <c r="X15" i="1"/>
  <c r="X68" i="1"/>
  <c r="X61" i="1"/>
  <c r="X21" i="1"/>
  <c r="X30" i="1"/>
  <c r="X28" i="1"/>
  <c r="X62" i="1"/>
  <c r="X64" i="1"/>
  <c r="X63" i="1"/>
  <c r="X18" i="1"/>
  <c r="X35" i="1"/>
  <c r="X57" i="1"/>
  <c r="X46" i="1"/>
  <c r="X51" i="1"/>
  <c r="X22" i="1"/>
  <c r="X70" i="1"/>
  <c r="X36" i="1"/>
  <c r="X49" i="1"/>
  <c r="X60" i="1"/>
  <c r="X5" i="1"/>
  <c r="X25" i="1"/>
  <c r="X75" i="1"/>
  <c r="X69" i="1"/>
  <c r="X19" i="1"/>
  <c r="X33" i="1"/>
  <c r="X7" i="1"/>
  <c r="X27" i="1"/>
  <c r="X55" i="1"/>
  <c r="X58" i="1"/>
  <c r="X52" i="1"/>
  <c r="X31" i="1"/>
  <c r="G74" i="1"/>
  <c r="G75" i="1" s="1"/>
  <c r="N72" i="1"/>
  <c r="N73" i="1" s="1"/>
  <c r="L67" i="1"/>
  <c r="M61" i="1"/>
  <c r="P43" i="1" l="1"/>
  <c r="G76" i="1"/>
  <c r="G77" i="1" s="1"/>
  <c r="N74" i="1"/>
  <c r="L68" i="1"/>
  <c r="M62" i="1"/>
  <c r="G78" i="1" l="1"/>
  <c r="T3" i="1" s="1"/>
  <c r="T65" i="1"/>
  <c r="T2" i="1"/>
  <c r="T49" i="1"/>
  <c r="T47" i="1"/>
  <c r="T66" i="1"/>
  <c r="P44" i="1"/>
  <c r="T4" i="1"/>
  <c r="T6" i="1"/>
  <c r="N75" i="1"/>
  <c r="L69" i="1"/>
  <c r="M63" i="1"/>
  <c r="M64" i="1" s="1"/>
  <c r="M65" i="1" s="1"/>
  <c r="M66" i="1" s="1"/>
  <c r="T77" i="1" l="1"/>
  <c r="T74" i="1"/>
  <c r="T73" i="1"/>
  <c r="T71" i="1"/>
  <c r="T33" i="1"/>
  <c r="T39" i="1"/>
  <c r="T10" i="1"/>
  <c r="T35" i="1"/>
  <c r="T59" i="1"/>
  <c r="T22" i="1"/>
  <c r="T55" i="1"/>
  <c r="T16" i="1"/>
  <c r="T32" i="1"/>
  <c r="T42" i="1"/>
  <c r="T62" i="1"/>
  <c r="T30" i="1"/>
  <c r="T45" i="1"/>
  <c r="T68" i="1"/>
  <c r="T20" i="1"/>
  <c r="T28" i="1"/>
  <c r="T31" i="1"/>
  <c r="T25" i="1"/>
  <c r="T21" i="1"/>
  <c r="T9" i="1"/>
  <c r="T60" i="1"/>
  <c r="T37" i="1"/>
  <c r="T52" i="1"/>
  <c r="T12" i="1"/>
  <c r="T54" i="1"/>
  <c r="T38" i="1"/>
  <c r="T67" i="1"/>
  <c r="T51" i="1"/>
  <c r="T8" i="1"/>
  <c r="T7" i="1"/>
  <c r="T23" i="1"/>
  <c r="T27" i="1"/>
  <c r="T14" i="1"/>
  <c r="T56" i="1"/>
  <c r="T63" i="1"/>
  <c r="T18" i="1"/>
  <c r="T57" i="1"/>
  <c r="T72" i="1"/>
  <c r="T11" i="1"/>
  <c r="T70" i="1"/>
  <c r="T61" i="1"/>
  <c r="T69" i="1"/>
  <c r="T41" i="1"/>
  <c r="T36" i="1"/>
  <c r="T13" i="1"/>
  <c r="T53" i="1"/>
  <c r="T29" i="1"/>
  <c r="T26" i="1"/>
  <c r="T19" i="1"/>
  <c r="T78" i="1"/>
  <c r="T34" i="1"/>
  <c r="T64" i="1"/>
  <c r="T50" i="1"/>
  <c r="T44" i="1"/>
  <c r="T46" i="1"/>
  <c r="T15" i="1"/>
  <c r="T76" i="1"/>
  <c r="T5" i="1"/>
  <c r="T75" i="1"/>
  <c r="T40" i="1"/>
  <c r="T58" i="1"/>
  <c r="T17" i="1"/>
  <c r="T48" i="1"/>
  <c r="T24" i="1"/>
  <c r="T43" i="1"/>
  <c r="P45" i="1"/>
  <c r="N76" i="1"/>
  <c r="L70" i="1"/>
  <c r="M67" i="1"/>
  <c r="P46" i="1" l="1"/>
  <c r="N77" i="1"/>
  <c r="L71" i="1"/>
  <c r="L72" i="1" s="1"/>
  <c r="L73" i="1" s="1"/>
  <c r="M68" i="1"/>
  <c r="P47" i="1" l="1"/>
  <c r="N78" i="1"/>
  <c r="AA59" i="1" s="1"/>
  <c r="L74" i="1"/>
  <c r="L75" i="1" s="1"/>
  <c r="M69" i="1"/>
  <c r="P48" i="1" l="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P49" i="1" l="1"/>
  <c r="L77" i="1"/>
  <c r="M71" i="1"/>
  <c r="P50" i="1" l="1"/>
  <c r="L78" i="1"/>
  <c r="Y39" i="1" s="1"/>
  <c r="Y27" i="1"/>
  <c r="Y43" i="1"/>
  <c r="Y14" i="1"/>
  <c r="Y53" i="1"/>
  <c r="Y59" i="1"/>
  <c r="Y12" i="1"/>
  <c r="Y40" i="1"/>
  <c r="Y26" i="1"/>
  <c r="Y52" i="1"/>
  <c r="Y54" i="1"/>
  <c r="Y49" i="1"/>
  <c r="Y22" i="1"/>
  <c r="Y68" i="1"/>
  <c r="Y58" i="1"/>
  <c r="Y62" i="1"/>
  <c r="Y18" i="1"/>
  <c r="Y55" i="1"/>
  <c r="Y5" i="1"/>
  <c r="Y46" i="1"/>
  <c r="Y6" i="1"/>
  <c r="Y47" i="1"/>
  <c r="Y65" i="1"/>
  <c r="Y17" i="1"/>
  <c r="Y42" i="1"/>
  <c r="Y15" i="1"/>
  <c r="Y50" i="1"/>
  <c r="Y9" i="1"/>
  <c r="Y13" i="1"/>
  <c r="Y71" i="1"/>
  <c r="Y31" i="1"/>
  <c r="Y51" i="1"/>
  <c r="Y69" i="1"/>
  <c r="Y20" i="1"/>
  <c r="Y16" i="1"/>
  <c r="Y48" i="1"/>
  <c r="Y19" i="1"/>
  <c r="Y36" i="1"/>
  <c r="Y37" i="1"/>
  <c r="Y10" i="1"/>
  <c r="Y61" i="1"/>
  <c r="Y60" i="1"/>
  <c r="Y44" i="1"/>
  <c r="Y8" i="1"/>
  <c r="Y21" i="1"/>
  <c r="Y35" i="1"/>
  <c r="Y28" i="1"/>
  <c r="Y34" i="1"/>
  <c r="Y72" i="1"/>
  <c r="Y67" i="1"/>
  <c r="Y57" i="1"/>
  <c r="Y25" i="1"/>
  <c r="Y7" i="1"/>
  <c r="Y11" i="1"/>
  <c r="Y29" i="1"/>
  <c r="Y41" i="1"/>
  <c r="Y32" i="1"/>
  <c r="Y56" i="1"/>
  <c r="Y23" i="1"/>
  <c r="Y45" i="1"/>
  <c r="Y24" i="1"/>
  <c r="Y4" i="1"/>
  <c r="Y73" i="1"/>
  <c r="Y66" i="1"/>
  <c r="Y33" i="1"/>
  <c r="Y30" i="1"/>
  <c r="Y70" i="1"/>
  <c r="Y74" i="1"/>
  <c r="Y75" i="1"/>
  <c r="Y76" i="1"/>
  <c r="M72" i="1"/>
  <c r="Y78" i="1" l="1"/>
  <c r="Y2" i="1"/>
  <c r="P51" i="1"/>
  <c r="Y64" i="1"/>
  <c r="Y38" i="1"/>
  <c r="Y3" i="1"/>
  <c r="Y63" i="1"/>
  <c r="Y77" i="1"/>
  <c r="M73" i="1"/>
  <c r="P52" i="1" l="1"/>
  <c r="M74" i="1"/>
  <c r="M75" i="1" s="1"/>
  <c r="P53" i="1" l="1"/>
  <c r="M76" i="1"/>
  <c r="P54" i="1" l="1"/>
  <c r="M77" i="1"/>
  <c r="M78" i="1" s="1"/>
  <c r="Z78" i="1" s="1"/>
  <c r="P55" i="1" l="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AC36" i="1" l="1"/>
  <c r="P69" i="1"/>
  <c r="P70" i="1" s="1"/>
  <c r="P71" i="1" s="1"/>
  <c r="P72" i="1" s="1"/>
  <c r="P73" i="1" s="1"/>
  <c r="P74" i="1" s="1"/>
  <c r="P75" i="1" s="1"/>
  <c r="P76" i="1" s="1"/>
  <c r="P77" i="1" s="1"/>
  <c r="P78" i="1" s="1"/>
  <c r="AC31" i="1"/>
  <c r="AC32" i="1"/>
  <c r="AC4" i="1"/>
  <c r="AC8" i="1"/>
  <c r="AC3" i="1"/>
  <c r="AC18" i="1"/>
  <c r="AC17" i="1"/>
  <c r="AC27" i="1"/>
  <c r="AC45" i="1"/>
  <c r="AC54" i="1"/>
  <c r="AC63" i="1"/>
  <c r="AC48" i="1"/>
  <c r="AC68" i="1"/>
  <c r="AC53" i="1"/>
  <c r="AC57" i="1"/>
  <c r="AC64" i="1"/>
  <c r="AC49" i="1"/>
  <c r="AC52" i="1"/>
  <c r="AC59" i="1"/>
  <c r="AC46" i="1"/>
  <c r="AC44" i="1"/>
  <c r="AC6" i="1"/>
  <c r="AC37" i="1"/>
  <c r="AC66" i="1"/>
  <c r="AC71" i="1"/>
  <c r="AC9" i="1"/>
  <c r="AC50" i="1"/>
  <c r="AC2" i="1"/>
  <c r="AC34" i="1"/>
  <c r="AC55" i="1"/>
  <c r="AC20" i="1"/>
  <c r="AC29" i="1"/>
  <c r="AC24" i="1"/>
  <c r="AC39" i="1"/>
  <c r="AC28" i="1"/>
  <c r="AC56" i="1"/>
  <c r="AC15" i="1"/>
  <c r="AC25" i="1"/>
  <c r="AC61" i="1"/>
  <c r="AC58" i="1"/>
  <c r="AC5" i="1"/>
  <c r="AC69" i="1"/>
  <c r="AC42" i="1"/>
  <c r="AC35" i="1"/>
  <c r="AC7" i="1"/>
  <c r="AC13" i="1"/>
  <c r="AC16" i="1"/>
  <c r="AC51" i="1"/>
  <c r="AC10" i="1"/>
  <c r="AC38" i="1"/>
  <c r="AC40" i="1"/>
  <c r="AC65" i="1"/>
  <c r="AC30" i="1"/>
  <c r="AC41" i="1"/>
  <c r="AC12" i="1"/>
  <c r="AC70" i="1"/>
  <c r="AC11" i="1"/>
  <c r="AC14" i="1"/>
  <c r="AC26" i="1"/>
  <c r="AC47" i="1"/>
  <c r="AC60" i="1"/>
  <c r="AC19" i="1"/>
  <c r="AC43" i="1"/>
  <c r="AC67" i="1"/>
  <c r="AC21" i="1"/>
  <c r="AC22" i="1"/>
  <c r="AC33" i="1"/>
  <c r="AC62" i="1"/>
  <c r="AC23" i="1"/>
  <c r="AC77" i="1" l="1"/>
  <c r="AC78" i="1"/>
  <c r="AC72" i="1"/>
  <c r="AC76" i="1"/>
  <c r="AC73" i="1"/>
  <c r="AC75" i="1"/>
  <c r="AC74"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<sst xmlns="http://schemas.openxmlformats.org/spreadsheetml/2006/main" count="902" uniqueCount="547">
  <si>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</si>
  <si>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</si>
  <si>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</si>
  <si>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</si>
  <si>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</si>
  <si>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</si>
  <si>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</si>
  <si>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</si>
  <si>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</si>
  <si>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</si>
  <si>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</si>
  <si>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</si>
  <si>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</si>
  <si>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</si>
  <si>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</si>
  <si>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</si>
  <si>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</si>
  <si>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</si>
  <si>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</si>
  <si>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</si>
  <si>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</si>
  <si>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</si>
  <si>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</si>
  <si>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</si>
  <si>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</si>
  <si>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</si>
  <si>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</si>
  <si>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</si>
  <si>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</si>
  <si>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</si>
  <si>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</si>
  <si>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</si>
  <si>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</si>
  <si>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</si>
  <si>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</si>
  <si>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</si>
  <si>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</si>
  <si>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</si>
  <si>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</si>
  <si>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</si>
  <si>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</si>
  <si>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</si>
  <si>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</si>
  <si>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</si>
  <si>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</si>
  <si>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</si>
  <si>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</si>
  <si>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</si>
  <si>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</si>
  <si>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</si>
  <si>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</si>
  <si>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</si>
  <si>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</si>
  <si>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</si>
  <si>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</si>
  <si>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</si>
  <si>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</si>
  <si>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</si>
  <si>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</si>
  <si>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</si>
  <si>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</si>
  <si>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</si>
  <si>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</si>
  <si>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</si>
  <si>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</si>
  <si>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</si>
  <si>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</si>
  <si>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</si>
  <si>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</si>
  <si>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</si>
  <si>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</si>
  <si>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</si>
  <si>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</si>
  <si>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</si>
  <si>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</si>
  <si>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</si>
  <si>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</si>
  <si>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</si>
  <si>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</si>
  <si>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</si>
  <si>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</si>
  <si>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</si>
  <si>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</si>
  <si>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</si>
  <si>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</si>
  <si>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</si>
  <si>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</si>
  <si>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</si>
  <si>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</si>
  <si>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</si>
  <si>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</si>
  <si>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</si>
  <si>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</si>
  <si>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</si>
  <si>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</si>
  <si>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</si>
  <si>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</si>
  <si>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</si>
  <si>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</si>
  <si>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</si>
  <si>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</si>
  <si>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</si>
  <si>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</si>
  <si>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</si>
  <si>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</si>
  <si>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</si>
  <si>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</si>
  <si>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</si>
  <si>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</si>
  <si>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</si>
  <si>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</si>
  <si>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</si>
  <si>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</si>
  <si>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</si>
  <si>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</si>
  <si>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</si>
  <si>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</si>
  <si>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</si>
  <si>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</si>
  <si>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</si>
  <si>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</si>
  <si>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</si>
  <si>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</si>
  <si>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</si>
  <si>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</si>
  <si>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</si>
  <si>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</si>
  <si>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</si>
  <si>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</si>
  <si>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</si>
  <si>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</si>
  <si>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</si>
  <si>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</si>
  <si>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</si>
  <si>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</si>
  <si>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</si>
  <si>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</si>
  <si>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</si>
  <si>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</si>
  <si>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</si>
  <si>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</si>
  <si>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</si>
  <si>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</si>
  <si>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</si>
  <si>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</si>
  <si>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</si>
  <si>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</si>
  <si>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</si>
  <si>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</si>
  <si>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</si>
  <si>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</si>
  <si>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</si>
  <si>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</si>
  <si>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</si>
  <si>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</si>
  <si>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</si>
  <si>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</si>
  <si>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</si>
  <si>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</si>
  <si>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</si>
  <si>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</si>
  <si>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</si>
  <si>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</si>
  <si>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</si>
  <si>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</si>
  <si>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</si>
  <si>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</si>
  <si>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</si>
  <si>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</si>
  <si>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</si>
  <si>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</si>
  <si>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</si>
  <si>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</si>
  <si>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</si>
  <si>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</si>
  <si>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</si>
  <si>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</si>
  <si>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</si>
  <si>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</si>
  <si>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</si>
  <si>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</si>
  <si>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</si>
  <si>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</si>
  <si>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</si>
  <si>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</si>
  <si>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</si>
  <si>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</si>
  <si>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</si>
  <si>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</si>
  <si>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</si>
  <si>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</si>
  <si>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</si>
  <si>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</si>
  <si>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</si>
  <si>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</si>
  <si>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</si>
  <si>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</si>
  <si>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</si>
  <si>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</si>
  <si>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</si>
  <si>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</si>
  <si>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</si>
  <si>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</si>
  <si>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</si>
  <si>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</si>
  <si>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</si>
  <si>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</si>
  <si>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</si>
  <si>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</si>
  <si>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</si>
  <si>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</si>
  <si>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</si>
  <si>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</si>
  <si>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</si>
  <si>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</si>
  <si>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</si>
  <si>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</si>
  <si>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</si>
  <si>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</si>
  <si>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</si>
  <si>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</si>
  <si>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</si>
  <si>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</si>
  <si>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</si>
  <si>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</si>
  <si>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</si>
  <si>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</si>
  <si>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</si>
  <si>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</si>
  <si>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</si>
  <si>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</si>
  <si>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</si>
  <si>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</si>
  <si>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</si>
  <si>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</si>
  <si>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</si>
  <si>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</si>
  <si>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</si>
  <si>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</si>
  <si>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</si>
  <si>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</si>
  <si>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</si>
  <si>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</si>
  <si>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</si>
  <si>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</si>
  <si>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</si>
  <si>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</si>
  <si>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</si>
  <si>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</si>
  <si>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</si>
  <si>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</si>
  <si>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</si>
  <si>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</si>
  <si>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</si>
  <si>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</si>
  <si>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</si>
  <si>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</si>
  <si>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</si>
  <si>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</si>
  <si>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</si>
  <si>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</si>
  <si>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</si>
  <si>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</si>
  <si>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</si>
  <si>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</si>
  <si>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</si>
  <si>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</si>
  <si>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</si>
  <si>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</si>
  <si>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</si>
  <si>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</si>
  <si>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</si>
  <si>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</si>
  <si>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</si>
  <si>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</si>
  <si>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</si>
  <si>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</si>
  <si>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</si>
  <si>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</si>
  <si>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</si>
  <si>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</si>
  <si>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</si>
  <si>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</si>
  <si>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</si>
  <si>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</si>
  <si>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</si>
  <si>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</si>
  <si>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</si>
  <si>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</si>
  <si>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</si>
  <si>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</si>
  <si>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</si>
  <si>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</si>
  <si>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</si>
  <si>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</si>
  <si>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</si>
  <si>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</si>
  <si>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</si>
  <si>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</si>
  <si>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</si>
  <si>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</si>
  <si>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</si>
  <si>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</si>
  <si>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</si>
  <si>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</si>
  <si>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</si>
  <si>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</si>
  <si>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</si>
  <si>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</si>
  <si>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</si>
  <si>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</si>
  <si>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</si>
  <si>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</si>
  <si>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</si>
  <si>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</si>
  <si>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</si>
  <si>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</si>
  <si>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</si>
  <si>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</si>
  <si>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</si>
  <si>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</si>
  <si>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</si>
  <si>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</si>
  <si>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</si>
  <si>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</si>
  <si>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</si>
  <si>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</si>
  <si>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</si>
  <si>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</si>
  <si>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</si>
  <si>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</si>
  <si>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</si>
  <si>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</si>
  <si>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</si>
  <si>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</si>
  <si>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</si>
  <si>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</si>
  <si>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</si>
  <si>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</si>
  <si>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</si>
  <si>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</si>
  <si>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</si>
  <si>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</si>
  <si>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</si>
  <si>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</si>
  <si>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</si>
  <si>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</si>
  <si>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</si>
  <si>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</si>
  <si>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</si>
  <si>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</si>
  <si>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</si>
  <si>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</si>
  <si>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</si>
  <si>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</si>
  <si>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</si>
  <si>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</si>
  <si>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</si>
  <si>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</si>
  <si>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</si>
  <si>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</si>
  <si>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</si>
  <si>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</si>
  <si>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</si>
  <si>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</si>
  <si>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</si>
  <si>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</si>
  <si>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</si>
  <si>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</si>
  <si>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</si>
  <si>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</si>
  <si>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</si>
  <si>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</si>
  <si>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</si>
  <si>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</si>
  <si>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</si>
  <si>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</si>
  <si>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</si>
  <si>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</si>
  <si>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</si>
  <si>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</si>
  <si>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</si>
  <si>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</si>
  <si>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</si>
  <si>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</si>
  <si>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</si>
  <si>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</si>
  <si>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</si>
  <si>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</si>
  <si>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</si>
  <si>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</si>
  <si>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</si>
  <si>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</si>
  <si>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</si>
  <si>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</si>
  <si>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</si>
  <si>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</si>
  <si>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</si>
  <si>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</si>
  <si>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</si>
  <si>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</si>
  <si>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</si>
  <si>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</si>
  <si>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</si>
  <si>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</si>
  <si>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</si>
  <si>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</si>
  <si>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</si>
  <si>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</si>
  <si>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</si>
  <si>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</si>
  <si>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</si>
  <si>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</si>
  <si>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</si>
  <si>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</si>
  <si>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</si>
  <si>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</si>
  <si>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</si>
  <si>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</si>
  <si>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</si>
  <si>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</si>
  <si>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</si>
  <si>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</si>
  <si>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</si>
  <si>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</si>
  <si>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</si>
  <si>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</si>
  <si>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</si>
  <si>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</si>
  <si>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</si>
  <si>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</si>
  <si>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</si>
  <si>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</si>
  <si>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</si>
  <si>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</si>
  <si>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</si>
  <si>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</si>
  <si>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</si>
  <si>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</si>
  <si>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</si>
  <si>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</si>
  <si>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</si>
  <si>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</si>
  <si>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</si>
  <si>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</si>
  <si>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</si>
  <si>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</si>
  <si>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</si>
  <si>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</si>
  <si>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</si>
  <si>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</si>
  <si>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</si>
  <si>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</si>
  <si>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</si>
  <si>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</si>
  <si>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</si>
  <si>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</si>
  <si>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</si>
  <si>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</si>
  <si>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</si>
  <si>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</si>
  <si>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</si>
  <si>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</si>
  <si>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</si>
  <si>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</si>
  <si>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</si>
  <si>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</si>
  <si>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</si>
  <si>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</si>
  <si>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</si>
  <si>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</si>
  <si>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</si>
  <si>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</si>
  <si>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</si>
  <si>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</si>
  <si>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</si>
  <si>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</si>
  <si>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</si>
  <si>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</si>
  <si>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</si>
  <si>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</si>
  <si>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</si>
  <si>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</si>
  <si>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</si>
  <si>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</si>
  <si>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</si>
  <si>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</si>
  <si>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</si>
  <si>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</si>
  <si>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</si>
  <si>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</si>
  <si>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</si>
  <si>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</si>
  <si>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</si>
  <si>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</si>
  <si>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</si>
  <si>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</si>
  <si>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</si>
  <si>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</si>
  <si>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</si>
  <si>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</si>
  <si>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</si>
  <si>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</si>
  <si>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</si>
  <si>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</si>
  <si>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</si>
  <si>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</si>
  <si>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</si>
  <si>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</si>
  <si>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</si>
  <si>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</si>
  <si>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</si>
  <si>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</si>
  <si>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</si>
  <si>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</si>
  <si>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</si>
  <si>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</si>
  <si>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Shunmei</t>
  </si>
  <si>
    <t>Abbot Whisper MS</t>
  </si>
  <si>
    <t>Abbot Whisper LS</t>
  </si>
  <si>
    <t>20 ml</t>
  </si>
  <si>
    <t>Pilot 150, 190 cm</t>
  </si>
  <si>
    <t>Pilot 150, 300 cm</t>
  </si>
  <si>
    <t>Медведева А.Ю.</t>
  </si>
  <si>
    <t>Вольхин М.В.</t>
  </si>
  <si>
    <t>Оставлен</t>
  </si>
  <si>
    <t>Извлечён</t>
  </si>
  <si>
    <t>лучевой</t>
  </si>
  <si>
    <t xml:space="preserve">Контроль места пункции, повязка на 6 ч. </t>
  </si>
  <si>
    <t>DES, Metafor</t>
  </si>
  <si>
    <t>Artimes</t>
  </si>
  <si>
    <t>NC Apollo</t>
  </si>
  <si>
    <t>Совместно с д/кардиологом: с учетом клинических данных, ЭКГ и КАГ рекомендовано ЧКВ ПНА.</t>
  </si>
  <si>
    <t>Матвеев Р.А.</t>
  </si>
  <si>
    <t>41:12</t>
  </si>
  <si>
    <t>Правый</t>
  </si>
  <si>
    <t>стеноз дистальной трети 40%</t>
  </si>
  <si>
    <t>устьевой стеноз 40%, кровоток TIMI III</t>
  </si>
  <si>
    <r>
      <rPr>
        <b/>
        <u/>
        <sz val="10"/>
        <color theme="1"/>
        <rFont val="Calibri"/>
        <family val="2"/>
        <charset val="204"/>
        <scheme val="minor"/>
      </rPr>
      <t>Коллатеральный кровоток:</t>
    </r>
    <r>
      <rPr>
        <u/>
        <sz val="10"/>
        <color theme="1"/>
        <rFont val="Calibri"/>
        <family val="2"/>
        <charset val="204"/>
        <scheme val="minor"/>
      </rPr>
      <t xml:space="preserve"> </t>
    </r>
    <r>
      <rPr>
        <sz val="10"/>
        <color theme="1"/>
        <rFont val="Calibri"/>
        <family val="2"/>
        <charset val="204"/>
        <scheme val="minor"/>
      </rPr>
      <t>нет</t>
    </r>
  </si>
  <si>
    <t>100 ml</t>
  </si>
  <si>
    <t>400 ml</t>
  </si>
  <si>
    <t>стеноз среднего сегмента 30%;, кровоток TIMI III</t>
  </si>
  <si>
    <t>DES, Evermine</t>
  </si>
  <si>
    <t>DES, Metafor (не установлен)</t>
  </si>
  <si>
    <t>1,5 - 10</t>
  </si>
  <si>
    <t>субокклюзия проксимального сегмента (TTG1); стеноз среднего сегмента до 70%; устьевой стеноз ДВ1 70%; кровоток TIMI II - III</t>
  </si>
  <si>
    <t xml:space="preserve">Устье ствола ЛКА катетеризировано проводниковым катетером Launcher EBU 3,5 6Fr. Коронарный проводник Shunmei (2 шт) заведен в дистальный сегмент ПНА через зону субокклюзии. В зону субокклюзии проксимального сегмента  с покрытием устья ПНА позиционирован и имплантирован DES Evermine 3,5 - 24 мм,  давлением до 12 атм. Рекроссинг проводников. С техническими трудностями сформирована ячейка устья ДВ1 БК Artimes 1,5 - 10мм, БК Колибри 2,75 - 15мм, давлением до 10 атм. С помощью гайд-экстензора, предприняты попытки проведения в средний сегмент стента DES Metafor 2,75 -32мм - безуспешны, стент не имплантирован.  На контрольных съемках стент раскрыт удовлетворительно, признаков краевых диссекций, тромбоза, экстравазации контрастного вещества не выявлено,стеноз среднего сегмента без отрицательной динамики, антеградный кровоток по ПНА восстановлен до TIMI III. Ангиографический результат удовлетворительный. Пациент в стабильном состоянии транспортируется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</si>
</sst>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b/>
      <u/>
      <sz val="10"/>
      <color theme="1"/>
      <name val="Calibri"/>
      <family val="2"/>
      <charset val="204"/>
      <scheme val="minor"/>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10" fillId="3" borderId="0" applyNumberFormat="0" applyBorder="0" applyAlignment="0" applyProtection="0"/>
    <xf numFmtId="164" fontId="10" fillId="3" borderId="0" applyNumberFormat="0" applyFill="0" applyAlignment="0"/>
    <xf numFmtId="0" fontId="14" fillId="0" borderId="0"/>
    <xf numFmtId="0" fontId="9" fillId="6" borderId="0" applyNumberFormat="0" applyBorder="0" applyAlignment="0" applyProtection="0"/>
    <xf numFmtId="0" fontId="9" fillId="7" borderId="0" applyNumberFormat="0" applyBorder="0" applyAlignment="0" applyProtection="0"/>
    <xf numFmtId="0" fontId="8" fillId="8" borderId="0" applyNumberFormat="0" applyBorder="0" applyAlignment="0" applyProtection="0"/>
    <xf numFmtId="0" fontId="48" fillId="9" borderId="21" applyNumberFormat="0" applyAlignment="0" applyProtection="0"/>
  </cellStyleXfs>
  <cellXfs count="25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9" fillId="7" borderId="5" xfId="5" applyBorder="1" applyAlignment="1">
      <alignment horizontal="centerContinuous" vertical="center"/>
    </xf>
    <xf numFmtId="0" fontId="9"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Alignment="1" applyProtection="1">
      <alignment vertical="center"/>
      <protection locked="0"/>
    </xf>
    <xf numFmtId="0" fontId="16"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5" fillId="0" borderId="12" xfId="0" applyFont="1" applyBorder="1"/>
    <xf numFmtId="0" fontId="0" fillId="0" borderId="0" xfId="0" applyProtection="1">
      <protection locked="0"/>
    </xf>
    <xf numFmtId="165" fontId="16" fillId="0" borderId="7" xfId="0" applyNumberFormat="1" applyFont="1" applyBorder="1" applyAlignment="1">
      <alignment horizontal="left" vertical="center"/>
    </xf>
    <xf numFmtId="0" fontId="16" fillId="0" borderId="7" xfId="0" applyFont="1" applyBorder="1" applyAlignment="1">
      <alignment horizontal="left" vertical="center"/>
    </xf>
    <xf numFmtId="0" fontId="28" fillId="0" borderId="0" xfId="0" applyFont="1" applyAlignment="1">
      <alignment horizontal="centerContinuous" vertical="top" wrapText="1"/>
    </xf>
    <xf numFmtId="0" fontId="16" fillId="0" borderId="0" xfId="0" applyFont="1" applyAlignment="1" applyProtection="1">
      <alignment vertical="top" wrapText="1"/>
      <protection locked="0"/>
    </xf>
    <xf numFmtId="0" fontId="16" fillId="0" borderId="0" xfId="0" applyFont="1" applyAlignment="1" applyProtection="1">
      <alignment horizontal="centerContinuous" vertical="top" wrapText="1"/>
      <protection locked="0"/>
    </xf>
    <xf numFmtId="0" fontId="33" fillId="0" borderId="0" xfId="0" applyFont="1" applyAlignment="1">
      <alignment vertical="top"/>
    </xf>
    <xf numFmtId="0" fontId="33" fillId="0" borderId="13" xfId="0" applyFont="1" applyBorder="1" applyAlignment="1">
      <alignment vertical="top"/>
    </xf>
    <xf numFmtId="0" fontId="23" fillId="0" borderId="0" xfId="0" applyFont="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Alignment="1" applyProtection="1">
      <alignment horizontal="left"/>
      <protection locked="0"/>
    </xf>
    <xf numFmtId="0" fontId="45" fillId="0" borderId="0" xfId="0" applyFont="1" applyAlignment="1">
      <alignment horizontal="left" vertical="center"/>
    </xf>
    <xf numFmtId="0" fontId="16" fillId="0" borderId="3" xfId="0" applyFont="1" applyBorder="1" applyAlignment="1">
      <alignment vertical="center"/>
    </xf>
    <xf numFmtId="0" fontId="16" fillId="0" borderId="4" xfId="0" applyFont="1" applyBorder="1" applyAlignment="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Alignment="1">
      <alignment horizontal="left" vertical="center"/>
    </xf>
    <xf numFmtId="0" fontId="36" fillId="0" borderId="13" xfId="0" applyFont="1" applyBorder="1" applyAlignment="1" applyProtection="1">
      <alignment horizontal="left"/>
      <protection locked="0"/>
    </xf>
    <xf numFmtId="0" fontId="36" fillId="0" borderId="0" xfId="0" applyFont="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16" fillId="0" borderId="9" xfId="0" applyFont="1" applyBorder="1" applyAlignment="1">
      <alignment vertical="center"/>
    </xf>
    <xf numFmtId="0" fontId="16" fillId="0" borderId="7" xfId="0" applyFont="1" applyBorder="1" applyAlignment="1">
      <alignment vertical="center"/>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Alignment="1">
      <alignment horizontal="centerContinuous"/>
    </xf>
    <xf numFmtId="0" fontId="50" fillId="9" borderId="21" xfId="7" applyFont="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17" fillId="0" borderId="0" xfId="0" applyFont="1" applyAlignment="1">
      <alignment horizontal="center"/>
    </xf>
    <xf numFmtId="0" fontId="50" fillId="9" borderId="21" xfId="7" applyFont="1" applyAlignment="1" applyProtection="1">
      <alignment horizontal="left" vertical="center"/>
    </xf>
    <xf numFmtId="0" fontId="24" fillId="0" borderId="12" xfId="0" applyFont="1" applyBorder="1" applyAlignment="1">
      <alignment horizontal="justify" vertical="center" wrapText="1"/>
    </xf>
    <xf numFmtId="0" fontId="25" fillId="0" borderId="13" xfId="0" applyFont="1" applyBorder="1" applyAlignment="1" applyProtection="1">
      <alignment horizontal="center" vertical="center"/>
      <protection locked="0"/>
    </xf>
    <xf numFmtId="0" fontId="25" fillId="0" borderId="0" xfId="0" applyFont="1" applyAlignment="1" applyProtection="1">
      <alignment horizontal="justify" vertical="center" wrapText="1"/>
      <protection locked="0"/>
    </xf>
    <xf numFmtId="0" fontId="25" fillId="0" borderId="0" xfId="0" applyFont="1" applyAlignment="1" applyProtection="1">
      <alignment vertical="center"/>
      <protection locked="0"/>
    </xf>
    <xf numFmtId="0" fontId="23" fillId="0" borderId="0" xfId="0" applyFont="1" applyAlignment="1" applyProtection="1">
      <alignment horizontal="left" vertical="top" wrapText="1"/>
      <protection locked="0"/>
    </xf>
    <xf numFmtId="0" fontId="23" fillId="0" borderId="0" xfId="0" applyFont="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3" fillId="0" borderId="0" xfId="0" applyFont="1" applyAlignment="1">
      <alignment horizontal="left" vertical="center" wrapText="1"/>
    </xf>
    <xf numFmtId="20" fontId="17" fillId="0" borderId="0" xfId="0" applyNumberFormat="1" applyFont="1" applyAlignment="1" applyProtection="1">
      <alignment vertical="center"/>
      <protection locked="0"/>
    </xf>
    <xf numFmtId="0" fontId="0" fillId="0" borderId="0" xfId="0" applyAlignment="1">
      <alignment vertical="top" wrapText="1"/>
    </xf>
    <xf numFmtId="0" fontId="42" fillId="0" borderId="0" xfId="0" applyFont="1" applyAlignment="1" applyProtection="1">
      <alignment vertical="top" wrapText="1"/>
      <protection locked="0"/>
    </xf>
    <xf numFmtId="0" fontId="54" fillId="0" borderId="0" xfId="0" applyFont="1" applyAlignment="1">
      <alignment vertical="top"/>
    </xf>
    <xf numFmtId="0" fontId="55"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9" fillId="0" borderId="0" xfId="0" applyFont="1" applyAlignment="1">
      <alignment horizontal="centerContinuous" vertical="center"/>
    </xf>
    <xf numFmtId="0" fontId="51" fillId="0" borderId="0" xfId="0" applyFont="1" applyAlignment="1" applyProtection="1">
      <alignment vertical="top" wrapText="1"/>
      <protection locked="0"/>
    </xf>
    <xf numFmtId="0" fontId="55"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7"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57" fillId="0" borderId="33" xfId="0" applyFont="1" applyBorder="1" applyAlignment="1" applyProtection="1">
      <alignment horizontal="center" vertical="center"/>
      <protection locked="0"/>
    </xf>
    <xf numFmtId="0" fontId="24" fillId="0" borderId="32" xfId="0" applyFont="1" applyBorder="1" applyAlignment="1">
      <alignment horizontal="justify" vertical="center" wrapText="1"/>
    </xf>
    <xf numFmtId="0" fontId="24" fillId="0" borderId="34" xfId="0" applyFont="1" applyBorder="1" applyAlignment="1">
      <alignment horizontal="justify" vertical="center" wrapText="1"/>
    </xf>
    <xf numFmtId="0" fontId="57" fillId="0" borderId="35" xfId="0" applyFont="1" applyBorder="1" applyAlignment="1" applyProtection="1">
      <alignment horizontal="center" vertical="center"/>
      <protection locked="0"/>
    </xf>
    <xf numFmtId="0" fontId="57" fillId="0" borderId="36" xfId="0" applyFont="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lignment horizont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0" fontId="57" fillId="0" borderId="35" xfId="0" applyFont="1" applyBorder="1" applyAlignment="1" applyProtection="1">
      <alignment horizontal="justify" vertical="center" wrapText="1"/>
      <protection locked="0"/>
    </xf>
    <xf numFmtId="0" fontId="6" fillId="0" borderId="0" xfId="0" applyFont="1"/>
    <xf numFmtId="0" fontId="59" fillId="0" borderId="40" xfId="0" applyFont="1" applyBorder="1" applyProtection="1">
      <protection locked="0"/>
    </xf>
    <xf numFmtId="0" fontId="0" fillId="0" borderId="0" xfId="0" applyAlignment="1">
      <alignment horizontal="center" vertical="top"/>
    </xf>
    <xf numFmtId="0" fontId="17" fillId="0" borderId="0" xfId="0" applyFont="1"/>
    <xf numFmtId="0" fontId="5" fillId="0" borderId="0" xfId="0" applyFont="1"/>
    <xf numFmtId="0" fontId="16" fillId="0" borderId="0" xfId="0" applyFont="1" applyAlignment="1" applyProtection="1">
      <alignment horizontal="justify" vertical="top"/>
      <protection locked="0"/>
    </xf>
    <xf numFmtId="0" fontId="26" fillId="7" borderId="15" xfId="5" applyFont="1" applyBorder="1" applyAlignment="1" applyProtection="1">
      <alignment horizontal="left" vertical="center"/>
    </xf>
    <xf numFmtId="0" fontId="47" fillId="0" borderId="20" xfId="0" applyFont="1" applyBorder="1" applyAlignment="1" applyProtection="1">
      <alignment horizontal="left" vertical="center" wrapText="1"/>
      <protection locked="0"/>
    </xf>
    <xf numFmtId="0" fontId="46" fillId="0" borderId="19" xfId="0" applyFont="1" applyBorder="1" applyAlignment="1">
      <alignment horizontal="left" vertical="center"/>
    </xf>
    <xf numFmtId="0" fontId="17"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7"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30"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6"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2"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7" fillId="0" borderId="20" xfId="0" applyNumberFormat="1" applyFont="1" applyBorder="1" applyAlignment="1">
      <alignment horizontal="left" vertical="center" wrapText="1"/>
    </xf>
    <xf numFmtId="0" fontId="47" fillId="0" borderId="20" xfId="0" applyFont="1" applyBorder="1" applyAlignment="1">
      <alignment horizontal="left" vertical="center" wrapText="1"/>
    </xf>
    <xf numFmtId="14" fontId="57"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9" fillId="0" borderId="0" xfId="0" applyFont="1" applyAlignment="1">
      <alignment horizontal="left"/>
    </xf>
    <xf numFmtId="20" fontId="30" fillId="0" borderId="13" xfId="0" applyNumberFormat="1" applyFont="1" applyBorder="1" applyAlignment="1">
      <alignment horizontal="left" wrapText="1"/>
    </xf>
    <xf numFmtId="0" fontId="16" fillId="0" borderId="13" xfId="0" applyFont="1" applyBorder="1" applyAlignment="1" applyProtection="1">
      <alignment horizontal="fill" vertical="center"/>
      <protection hidden="1"/>
    </xf>
    <xf numFmtId="14" fontId="57" fillId="0" borderId="26" xfId="0" applyNumberFormat="1" applyFont="1" applyBorder="1" applyAlignment="1" applyProtection="1">
      <alignment horizontal="center" vertical="center"/>
      <protection locked="0"/>
    </xf>
    <xf numFmtId="166" fontId="23" fillId="6" borderId="9" xfId="4" applyNumberFormat="1" applyFont="1" applyBorder="1" applyAlignment="1" applyProtection="1">
      <alignment horizontal="left" vertical="center"/>
    </xf>
    <xf numFmtId="0" fontId="0" fillId="0" borderId="0" xfId="0" applyAlignment="1">
      <alignment horizontal="left"/>
    </xf>
    <xf numFmtId="0" fontId="17"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8" fillId="0" borderId="8" xfId="0" applyFont="1" applyBorder="1" applyAlignment="1">
      <alignment horizontal="left" vertical="center"/>
    </xf>
    <xf numFmtId="0" fontId="17" fillId="0" borderId="4" xfId="0" applyFont="1" applyBorder="1" applyAlignment="1" applyProtection="1">
      <alignment horizontal="center" vertical="center"/>
      <protection locked="0"/>
    </xf>
    <xf numFmtId="0" fontId="12" fillId="0" borderId="12" xfId="0" applyFont="1" applyBorder="1" applyAlignment="1">
      <alignment horizontal="left"/>
    </xf>
    <xf numFmtId="0" fontId="4" fillId="0" borderId="8" xfId="0" applyFont="1" applyBorder="1"/>
    <xf numFmtId="0" fontId="38"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8" fillId="8" borderId="18" xfId="6" applyFont="1" applyBorder="1" applyAlignment="1" applyProtection="1">
      <alignment horizontal="left" vertical="center"/>
    </xf>
    <xf numFmtId="0" fontId="0" fillId="0" borderId="0" xfId="0" applyNumberFormat="1"/>
    <xf numFmtId="0" fontId="28" fillId="8" borderId="18" xfId="6" applyFont="1" applyBorder="1" applyAlignment="1" applyProtection="1">
      <alignment horizontal="left" vertical="center"/>
      <protection locked="0"/>
    </xf>
    <xf numFmtId="0" fontId="23" fillId="8" borderId="16" xfId="6" applyFont="1" applyBorder="1" applyAlignment="1" applyProtection="1">
      <alignment horizontal="left" vertical="center"/>
      <protection locked="0"/>
    </xf>
    <xf numFmtId="0" fontId="0" fillId="0" borderId="0" xfId="0" applyBorder="1"/>
    <xf numFmtId="0" fontId="51"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9"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2" fillId="13" borderId="0" xfId="0" applyFont="1" applyFill="1" applyAlignment="1">
      <alignment horizontal="left"/>
    </xf>
    <xf numFmtId="0" fontId="2" fillId="0" borderId="0" xfId="0" applyFont="1"/>
    <xf numFmtId="0" fontId="70" fillId="0" borderId="0" xfId="0" applyFont="1" applyAlignment="1" applyProtection="1">
      <alignment horizontal="justify" vertical="top" wrapText="1"/>
      <protection locked="0"/>
    </xf>
    <xf numFmtId="0" fontId="3" fillId="0" borderId="0" xfId="0" applyFont="1" applyAlignment="1" applyProtection="1">
      <alignment horizontal="justify" vertical="top" wrapText="1"/>
      <protection locked="0"/>
    </xf>
    <xf numFmtId="0" fontId="3" fillId="0" borderId="13" xfId="0" applyFont="1" applyBorder="1" applyAlignment="1" applyProtection="1">
      <alignment horizontal="justify" vertical="top" wrapText="1"/>
      <protection locked="0"/>
    </xf>
    <xf numFmtId="0" fontId="39"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3" fillId="0" borderId="0" xfId="0" applyFont="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63" fillId="0" borderId="0" xfId="0" applyFont="1" applyAlignment="1" applyProtection="1">
      <alignment horizontal="justify" vertical="top" wrapText="1"/>
      <protection locked="0"/>
    </xf>
    <xf numFmtId="0" fontId="59" fillId="0" borderId="0" xfId="0" applyFont="1" applyAlignment="1" applyProtection="1">
      <alignment horizontal="justify" vertical="top" wrapText="1"/>
      <protection locked="0"/>
    </xf>
    <xf numFmtId="0" fontId="59" fillId="0" borderId="13" xfId="0" applyFont="1" applyBorder="1" applyAlignment="1" applyProtection="1">
      <alignment horizontal="justify" vertical="top" wrapText="1"/>
      <protection locked="0"/>
    </xf>
    <xf numFmtId="0" fontId="59" fillId="0" borderId="3" xfId="0" applyFont="1" applyBorder="1" applyAlignment="1" applyProtection="1">
      <alignment horizontal="justify" vertical="top" wrapText="1"/>
      <protection locked="0"/>
    </xf>
    <xf numFmtId="0" fontId="59"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52" fillId="0" borderId="4" xfId="0" applyFont="1" applyBorder="1" applyAlignment="1" applyProtection="1">
      <alignment horizontal="left" vertical="center"/>
      <protection locked="0"/>
    </xf>
    <xf numFmtId="0" fontId="1" fillId="0" borderId="0" xfId="0" applyFont="1" applyAlignment="1" applyProtection="1">
      <alignment horizontal="justify" vertical="top" wrapText="1"/>
      <protection locked="0"/>
    </xf>
    <xf numFmtId="0" fontId="42" fillId="0" borderId="0" xfId="0" applyFont="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0"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78"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tabSelected="1" showWhiteSpace="0" topLeftCell="A6" zoomScaleNormal="100" zoomScaleSheetLayoutView="100" zoomScalePageLayoutView="90" workbookViewId="0">
      <selection activeCell="B22" sqref="B22:H26"/>
    </sheetView>
  </sheetViews>
  <sheetFormatPr defaultColWidth="0" defaultRowHeight="15" zeroHeight="1"/>
  <cols>
    <col min="1" max="1" width="17.7109375" style="209" bestFit="1" customWidth="1"/>
    <col min="2" max="2" width="21.5703125" style="209" customWidth="1"/>
    <col min="3" max="3" width="6.28515625" style="209" customWidth="1"/>
    <col min="4" max="4" width="6.85546875" style="209" customWidth="1"/>
    <col min="5" max="5" width="4.85546875" style="209" customWidth="1"/>
    <col min="6" max="6" width="6.28515625" style="209" customWidth="1"/>
    <col min="7" max="7" width="17.7109375" style="209" customWidth="1"/>
    <col min="8" max="8" width="17.140625" style="209" customWidth="1"/>
    <col min="9" max="9" width="15.28515625" style="209" customWidth="1"/>
    <col min="10" max="10" width="7.28515625" style="209"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1" t="s">
        <v>213</v>
      </c>
      <c r="B6" s="222"/>
      <c r="C6" s="222"/>
      <c r="D6" s="222"/>
      <c r="E6" s="222"/>
      <c r="F6" s="222"/>
      <c r="G6" s="222"/>
      <c r="H6" s="223"/>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52"/>
      <c r="D7" s="52"/>
      <c r="E7" s="52"/>
      <c r="F7" s="52"/>
      <c r="G7"/>
      <c r="H7" s="38"/>
    </row>
    <row r="8" spans="1:8" ht="18.75">
      <c r="A8" s="13" t="s">
        <v>191</v>
      </c>
      <c r="B8" s="19">
        <v>45734</v>
      </c>
      <c r="C8" s="53"/>
      <c r="D8" s="15" t="s">
        <v>186</v>
      </c>
      <c r="E8" s="28"/>
      <c r="F8" s="28"/>
      <c r="G8" s="16"/>
      <c r="H8" s="17"/>
    </row>
    <row r="9" spans="1:8" ht="15.6" customHeight="1">
      <c r="A9" s="20" t="s">
        <v>193</v>
      </c>
      <c r="B9" s="21">
        <v>0.97916666666666663</v>
      </c>
      <c r="C9" s="53"/>
      <c r="D9" s="93" t="s">
        <v>172</v>
      </c>
      <c r="E9" s="91"/>
      <c r="F9" s="91"/>
      <c r="G9" s="22" t="s">
        <v>163</v>
      </c>
      <c r="H9" s="24"/>
    </row>
    <row r="10" spans="1:8" ht="15.6" customHeight="1" thickBot="1">
      <c r="A10" s="82" t="s">
        <v>194</v>
      </c>
      <c r="B10" s="83">
        <v>0.98611111111111116</v>
      </c>
      <c r="C10" s="54"/>
      <c r="D10" s="94" t="s">
        <v>173</v>
      </c>
      <c r="E10" s="92"/>
      <c r="F10" s="92"/>
      <c r="G10" s="23" t="s">
        <v>156</v>
      </c>
      <c r="H10" s="25"/>
    </row>
    <row r="11" spans="1:8" ht="17.25" thickTop="1" thickBot="1">
      <c r="A11" s="88" t="s">
        <v>192</v>
      </c>
      <c r="B11" s="201" t="s">
        <v>533</v>
      </c>
      <c r="C11" s="8"/>
      <c r="D11" s="94" t="s">
        <v>170</v>
      </c>
      <c r="E11" s="92"/>
      <c r="F11" s="92"/>
      <c r="G11" s="23" t="s">
        <v>250</v>
      </c>
      <c r="H11" s="25"/>
    </row>
    <row r="12" spans="1:8" ht="16.5" thickTop="1">
      <c r="A12" s="80" t="s">
        <v>8</v>
      </c>
      <c r="B12" s="81">
        <v>26849</v>
      </c>
      <c r="C12" s="11"/>
      <c r="D12" s="94" t="s">
        <v>302</v>
      </c>
      <c r="E12" s="92"/>
      <c r="F12" s="92"/>
      <c r="G12" s="23" t="s">
        <v>177</v>
      </c>
      <c r="H12" s="25"/>
    </row>
    <row r="13" spans="1:8" ht="15.75">
      <c r="A13" s="14" t="s">
        <v>10</v>
      </c>
      <c r="B13" s="29">
        <f>DATEDIF(B12,B8,"y")</f>
        <v>51</v>
      </c>
      <c r="C13" s="11"/>
      <c r="D13" s="94"/>
      <c r="E13" s="92"/>
      <c r="F13" s="92"/>
      <c r="G13" s="23"/>
      <c r="H13" s="25"/>
    </row>
    <row r="14" spans="1:8" ht="15.75">
      <c r="A14" s="14" t="s">
        <v>12</v>
      </c>
      <c r="B14" s="18">
        <v>7542</v>
      </c>
      <c r="C14" s="11"/>
      <c r="D14" s="35"/>
      <c r="E14" s="35"/>
      <c r="F14" s="35"/>
      <c r="G14" s="36"/>
      <c r="H14" s="55"/>
    </row>
    <row r="15" spans="1:8" ht="15.75">
      <c r="A15" s="14" t="s">
        <v>133</v>
      </c>
      <c r="B15" s="18">
        <v>35</v>
      </c>
      <c r="C15"/>
      <c r="D15" s="35"/>
      <c r="E15" s="35"/>
      <c r="F15" s="35"/>
      <c r="G15" s="163" t="s">
        <v>397</v>
      </c>
      <c r="H15" s="167" t="s">
        <v>534</v>
      </c>
    </row>
    <row r="16" spans="1:8" ht="15.6" customHeight="1">
      <c r="A16" s="14" t="s">
        <v>106</v>
      </c>
      <c r="B16" s="18" t="s">
        <v>483</v>
      </c>
      <c r="C16"/>
      <c r="D16" s="35"/>
      <c r="E16" s="35"/>
      <c r="F16" s="35"/>
      <c r="G16" s="164" t="s">
        <v>399</v>
      </c>
      <c r="H16" s="162">
        <v>14900</v>
      </c>
    </row>
    <row r="17" spans="1:8" ht="14.45" customHeight="1">
      <c r="A17" s="39"/>
      <c r="B17" s="30"/>
      <c r="C17" s="30"/>
      <c r="D17" s="87"/>
      <c r="E17" s="87"/>
      <c r="F17" s="87"/>
      <c r="G17" s="165" t="s">
        <v>386</v>
      </c>
      <c r="H17" s="166">
        <f>H16*0.0019</f>
        <v>28.31</v>
      </c>
    </row>
    <row r="18" spans="1:8" ht="14.45" customHeight="1">
      <c r="A18" s="56" t="s">
        <v>188</v>
      </c>
      <c r="B18" s="86" t="s">
        <v>535</v>
      </c>
      <c r="C18"/>
      <c r="D18" s="27" t="s">
        <v>210</v>
      </c>
      <c r="E18" s="27"/>
      <c r="F18" s="27"/>
      <c r="G18" s="84" t="s">
        <v>189</v>
      </c>
      <c r="H18" s="85" t="s">
        <v>527</v>
      </c>
    </row>
    <row r="19" spans="1:8" ht="14.45" customHeight="1">
      <c r="A19" s="39"/>
      <c r="B19" s="30"/>
      <c r="C19" s="30"/>
      <c r="D19" s="33"/>
      <c r="E19" s="33"/>
      <c r="F19" s="33"/>
      <c r="G19" s="30"/>
      <c r="H19" s="40"/>
    </row>
    <row r="20" spans="1:8" ht="14.45" customHeight="1">
      <c r="A20" s="56" t="s">
        <v>212</v>
      </c>
      <c r="B20" s="224" t="s">
        <v>536</v>
      </c>
      <c r="C20" s="225"/>
      <c r="D20" s="225"/>
      <c r="E20" s="225"/>
      <c r="F20" s="225"/>
      <c r="G20" s="225"/>
      <c r="H20" s="226"/>
    </row>
    <row r="21" spans="1:8">
      <c r="A21" s="57"/>
      <c r="B21" s="227"/>
      <c r="C21" s="227"/>
      <c r="D21" s="227"/>
      <c r="E21" s="227"/>
      <c r="F21" s="227"/>
      <c r="G21" s="227"/>
      <c r="H21" s="228"/>
    </row>
    <row r="22" spans="1:8" ht="15.6" customHeight="1">
      <c r="A22" s="58" t="s">
        <v>271</v>
      </c>
      <c r="B22" s="229" t="s">
        <v>545</v>
      </c>
      <c r="C22" s="229"/>
      <c r="D22" s="229"/>
      <c r="E22" s="229"/>
      <c r="F22" s="229"/>
      <c r="G22" s="229"/>
      <c r="H22" s="230"/>
    </row>
    <row r="23" spans="1:8" ht="14.45" customHeight="1">
      <c r="A23" s="37"/>
      <c r="B23" s="224"/>
      <c r="C23" s="224"/>
      <c r="D23" s="224"/>
      <c r="E23" s="224"/>
      <c r="F23" s="224"/>
      <c r="G23" s="224"/>
      <c r="H23" s="231"/>
    </row>
    <row r="24" spans="1:8" ht="14.45" customHeight="1">
      <c r="A24" s="59"/>
      <c r="B24" s="224"/>
      <c r="C24" s="224"/>
      <c r="D24" s="224"/>
      <c r="E24" s="224"/>
      <c r="F24" s="224"/>
      <c r="G24" s="224"/>
      <c r="H24" s="231"/>
    </row>
    <row r="25" spans="1:8" ht="14.45" customHeight="1">
      <c r="A25" s="37"/>
      <c r="B25" s="224"/>
      <c r="C25" s="224"/>
      <c r="D25" s="224"/>
      <c r="E25" s="224"/>
      <c r="F25" s="224"/>
      <c r="G25" s="224"/>
      <c r="H25" s="231"/>
    </row>
    <row r="26" spans="1:8" ht="14.45" customHeight="1">
      <c r="A26" s="39"/>
      <c r="B26" s="232"/>
      <c r="C26" s="232"/>
      <c r="D26" s="232"/>
      <c r="E26" s="232"/>
      <c r="F26" s="232"/>
      <c r="G26" s="232"/>
      <c r="H26" s="233"/>
    </row>
    <row r="27" spans="1:8" ht="14.45" customHeight="1">
      <c r="A27" s="58" t="s">
        <v>272</v>
      </c>
      <c r="B27" s="229" t="s">
        <v>537</v>
      </c>
      <c r="C27" s="229"/>
      <c r="D27" s="229"/>
      <c r="E27" s="229"/>
      <c r="F27" s="229"/>
      <c r="G27" s="229"/>
      <c r="H27" s="230"/>
    </row>
    <row r="28" spans="1:8" ht="15.6" customHeight="1">
      <c r="A28" s="37"/>
      <c r="B28" s="224"/>
      <c r="C28" s="224"/>
      <c r="D28" s="224"/>
      <c r="E28" s="224"/>
      <c r="F28" s="224"/>
      <c r="G28" s="224"/>
      <c r="H28" s="231"/>
    </row>
    <row r="29" spans="1:8" ht="14.45" customHeight="1">
      <c r="A29" s="37"/>
      <c r="B29" s="224"/>
      <c r="C29" s="224"/>
      <c r="D29" s="224"/>
      <c r="E29" s="224"/>
      <c r="F29" s="224"/>
      <c r="G29" s="224"/>
      <c r="H29" s="231"/>
    </row>
    <row r="30" spans="1:8" ht="14.45" customHeight="1">
      <c r="A30" s="31"/>
      <c r="B30" s="224"/>
      <c r="C30" s="224"/>
      <c r="D30" s="224"/>
      <c r="E30" s="224"/>
      <c r="F30" s="224"/>
      <c r="G30" s="224"/>
      <c r="H30" s="231"/>
    </row>
    <row r="31" spans="1:8" ht="14.45" customHeight="1">
      <c r="A31" s="32"/>
      <c r="B31" s="232"/>
      <c r="C31" s="232"/>
      <c r="D31" s="232"/>
      <c r="E31" s="232"/>
      <c r="F31" s="232"/>
      <c r="G31" s="232"/>
      <c r="H31" s="233"/>
    </row>
    <row r="32" spans="1:8" ht="14.45" customHeight="1">
      <c r="A32" s="58" t="s">
        <v>273</v>
      </c>
      <c r="B32" s="229" t="s">
        <v>541</v>
      </c>
      <c r="C32" s="229"/>
      <c r="D32" s="229"/>
      <c r="E32" s="229"/>
      <c r="F32" s="229"/>
      <c r="G32" s="229"/>
      <c r="H32" s="230"/>
    </row>
    <row r="33" spans="1:8" ht="14.45" customHeight="1">
      <c r="A33" s="37"/>
      <c r="B33" s="224"/>
      <c r="C33" s="224"/>
      <c r="D33" s="224"/>
      <c r="E33" s="224"/>
      <c r="F33" s="224"/>
      <c r="G33" s="224"/>
      <c r="H33" s="231"/>
    </row>
    <row r="34" spans="1:8" ht="15.6" customHeight="1">
      <c r="A34" s="37"/>
      <c r="B34" s="224"/>
      <c r="C34" s="224"/>
      <c r="D34" s="224"/>
      <c r="E34" s="224"/>
      <c r="F34" s="224"/>
      <c r="G34" s="224"/>
      <c r="H34" s="231"/>
    </row>
    <row r="35" spans="1:8" ht="14.45" customHeight="1">
      <c r="A35" s="37"/>
      <c r="B35" s="224"/>
      <c r="C35" s="224"/>
      <c r="D35" s="224"/>
      <c r="E35" s="224"/>
      <c r="F35" s="224"/>
      <c r="G35" s="224"/>
      <c r="H35" s="231"/>
    </row>
    <row r="36" spans="1:8" ht="15.6" customHeight="1">
      <c r="A36" s="37"/>
      <c r="B36" s="232"/>
      <c r="C36" s="232"/>
      <c r="D36" s="232"/>
      <c r="E36" s="232"/>
      <c r="F36" s="232"/>
      <c r="G36" s="232"/>
      <c r="H36" s="233"/>
    </row>
    <row r="37" spans="1:8" ht="14.45" customHeight="1">
      <c r="A37" s="37"/>
      <c r="B37"/>
      <c r="C37"/>
      <c r="D37" s="217" t="str">
        <f>IF($A$6=Вмешательства!$D$3,Вмешательства!$F$18,"")</f>
        <v/>
      </c>
      <c r="E37" s="217"/>
      <c r="F37" s="118"/>
      <c r="G37" s="118"/>
      <c r="H37" s="122"/>
    </row>
    <row r="38" spans="1:8" ht="14.45" customHeight="1">
      <c r="A38" s="37"/>
      <c r="B38"/>
      <c r="C38" s="123"/>
      <c r="D38" s="218" t="s">
        <v>538</v>
      </c>
      <c r="E38" s="219"/>
      <c r="F38" s="219"/>
      <c r="G38" s="219"/>
      <c r="H38" s="220"/>
    </row>
    <row r="39" spans="1:8" ht="14.45" customHeight="1">
      <c r="A39" s="34"/>
      <c r="B39" s="118"/>
      <c r="C39" s="123"/>
      <c r="D39" s="219"/>
      <c r="E39" s="219"/>
      <c r="F39" s="219"/>
      <c r="G39" s="219"/>
      <c r="H39" s="220"/>
    </row>
    <row r="40" spans="1:8" ht="14.45" customHeight="1">
      <c r="A40" s="34"/>
      <c r="B40" s="118"/>
      <c r="C40" s="123"/>
      <c r="D40" s="219"/>
      <c r="E40" s="219"/>
      <c r="F40" s="219"/>
      <c r="G40" s="219"/>
      <c r="H40" s="220"/>
    </row>
    <row r="41" spans="1:8" ht="14.45" customHeight="1">
      <c r="A41" s="34"/>
      <c r="B41" s="118"/>
      <c r="C41" s="123"/>
      <c r="D41" s="219"/>
      <c r="E41" s="219"/>
      <c r="F41" s="219"/>
      <c r="G41" s="219"/>
      <c r="H41" s="220"/>
    </row>
    <row r="42" spans="1:8" ht="14.45" customHeight="1">
      <c r="A42" s="34"/>
      <c r="B42" s="118"/>
      <c r="C42" s="124"/>
      <c r="D42" s="126"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Рекомендовано:</v>
      </c>
      <c r="E42" s="41"/>
      <c r="F42" s="41"/>
      <c r="G42" s="41"/>
      <c r="H42" s="60"/>
    </row>
    <row r="43" spans="1:8" ht="14.45" customHeight="1">
      <c r="A43" s="34"/>
      <c r="B43" s="118"/>
      <c r="C43" s="125"/>
      <c r="D43" s="214" t="s">
        <v>532</v>
      </c>
      <c r="E43" s="215"/>
      <c r="F43" s="215"/>
      <c r="G43" s="215"/>
      <c r="H43" s="216"/>
    </row>
    <row r="44" spans="1:8" ht="14.45" customHeight="1">
      <c r="A44" s="34"/>
      <c r="B44" s="118"/>
      <c r="C44" s="125"/>
      <c r="D44" s="215"/>
      <c r="E44" s="215"/>
      <c r="F44" s="215"/>
      <c r="G44" s="215"/>
      <c r="H44" s="216"/>
    </row>
    <row r="45" spans="1:8" ht="14.45" customHeight="1">
      <c r="A45" s="34"/>
      <c r="B45" s="118"/>
      <c r="C45" s="125"/>
      <c r="D45" s="215"/>
      <c r="E45" s="215"/>
      <c r="F45" s="215"/>
      <c r="G45" s="215"/>
      <c r="H45" s="216"/>
    </row>
    <row r="46" spans="1:8">
      <c r="A46" s="34"/>
      <c r="B46" s="118"/>
      <c r="C46" s="125"/>
      <c r="D46" s="215"/>
      <c r="E46" s="215"/>
      <c r="F46" s="215"/>
      <c r="G46" s="215"/>
      <c r="H46" s="216"/>
    </row>
    <row r="47" spans="1:8">
      <c r="A47" s="37"/>
      <c r="B47"/>
      <c r="C47" s="125"/>
      <c r="D47" s="215"/>
      <c r="E47" s="215"/>
      <c r="F47" s="215"/>
      <c r="G47" s="215"/>
      <c r="H47" s="216"/>
    </row>
    <row r="48" spans="1:8">
      <c r="A48" s="37"/>
      <c r="B48"/>
      <c r="C48" s="125"/>
      <c r="D48" s="215"/>
      <c r="E48" s="215"/>
      <c r="F48" s="215"/>
      <c r="G48" s="215"/>
      <c r="H48" s="216"/>
    </row>
    <row r="49" spans="1:13">
      <c r="A49" s="37"/>
      <c r="B49" s="203"/>
      <c r="C49" s="204"/>
      <c r="D49" s="215"/>
      <c r="E49" s="215"/>
      <c r="F49" s="215"/>
      <c r="G49" s="215"/>
      <c r="H49" s="216"/>
    </row>
    <row r="50" spans="1:13">
      <c r="A50" s="37"/>
      <c r="B50"/>
      <c r="C50"/>
      <c r="D50" s="215"/>
      <c r="E50" s="215"/>
      <c r="F50" s="215"/>
      <c r="G50" s="215"/>
      <c r="H50" s="216"/>
      <c r="M50" t="s">
        <v>211</v>
      </c>
    </row>
    <row r="51" spans="1:13">
      <c r="A51" s="61" t="s">
        <v>204</v>
      </c>
      <c r="B51" s="62" t="s">
        <v>539</v>
      </c>
      <c r="C51"/>
      <c r="D51"/>
      <c r="E51"/>
      <c r="F51"/>
      <c r="G51" s="73" t="str">
        <f>$G$9</f>
        <v>Щербаков А.С.</v>
      </c>
      <c r="H51" s="63"/>
    </row>
    <row r="52" spans="1:13">
      <c r="A52" s="37"/>
      <c r="B52"/>
      <c r="C52"/>
      <c r="D52"/>
      <c r="E52"/>
      <c r="F52"/>
      <c r="G52"/>
      <c r="H52" s="38"/>
    </row>
    <row r="53" spans="1:13">
      <c r="A53" s="64" t="s">
        <v>206</v>
      </c>
      <c r="B53" s="65" t="s">
        <v>525</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showWhiteSpace="0" zoomScaleNormal="100" zoomScaleSheetLayoutView="100" zoomScalePageLayoutView="90" workbookViewId="0">
      <selection activeCell="A25" sqref="A25:H37"/>
    </sheetView>
  </sheetViews>
  <sheetFormatPr defaultColWidth="0" defaultRowHeight="15" zeroHeight="1"/>
  <cols>
    <col min="1" max="1" width="18.85546875" style="210" customWidth="1"/>
    <col min="2" max="2" width="21.5703125" style="210" customWidth="1"/>
    <col min="3" max="3" width="6.28515625" style="210" customWidth="1"/>
    <col min="4" max="4" width="6.85546875" style="210" customWidth="1"/>
    <col min="5" max="5" width="4.85546875" style="210" customWidth="1"/>
    <col min="6" max="6" width="6" style="210" customWidth="1"/>
    <col min="7" max="7" width="17.7109375" style="210" customWidth="1"/>
    <col min="8" max="8" width="17.140625" style="210" customWidth="1"/>
    <col min="9" max="9" width="15.28515625" style="210" customWidth="1"/>
    <col min="10" max="10" width="7.28515625" style="210"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4" t="s">
        <v>242</v>
      </c>
      <c r="B6" s="245"/>
      <c r="C6" s="245"/>
      <c r="D6" s="245"/>
      <c r="E6" s="245"/>
      <c r="F6" s="245"/>
      <c r="G6" s="245"/>
      <c r="H6" s="246"/>
    </row>
    <row r="7" spans="1:8" ht="21.6" customHeight="1">
      <c r="A7" s="244"/>
      <c r="B7" s="245"/>
      <c r="C7" s="245"/>
      <c r="D7" s="245"/>
      <c r="E7" s="245"/>
      <c r="F7" s="245"/>
      <c r="G7" s="245"/>
      <c r="H7" s="246"/>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Код по ЕНМУ: A16.12.028.003</v>
      </c>
      <c r="B8"/>
      <c r="C8" s="243" t="s">
        <v>221</v>
      </c>
      <c r="D8" s="243"/>
      <c r="E8" s="243"/>
      <c r="F8" s="188">
        <v>1</v>
      </c>
      <c r="G8" s="117" t="s">
        <v>308</v>
      </c>
      <c r="H8" s="156"/>
    </row>
    <row r="9" spans="1:8" ht="15.75" thickTop="1">
      <c r="A9" s="51" t="str">
        <f>"Код модели:"&amp;" "&amp;IFERROR(IF(ISBLANK(H8),IF(A6=Вмешательства!D4,INDEX(Код.Модели[#All],MATCH(ЧКВ!B21,Код.Модели[[#All],[Диагноз]],0),MATCH(ЧКВ!C11,Вмешательства!F2:T2,0))," ")," "),"")</f>
        <v xml:space="preserve">Код модели:  </v>
      </c>
      <c r="B9"/>
      <c r="C9" s="243"/>
      <c r="D9" s="243"/>
      <c r="E9" s="243"/>
      <c r="F9" s="188"/>
      <c r="G9" s="117"/>
      <c r="H9" s="38"/>
    </row>
    <row r="10" spans="1:8">
      <c r="A10" s="51" t="str">
        <f>"Код метода:"&amp;" "&amp;IFERROR(IF(ISBLANK(ЧКВ!H8),IF(A6=Вмешательства!D4,INDEX(Код.Метода[#All],MATCH(ЧКВ!B21,Код.Метода[[#All],[Диагноз]],0),MATCH(ЧКВ!C11,Вмешательства!F12:T12,0))," ")," "),"")</f>
        <v xml:space="preserve">Код метода:  </v>
      </c>
      <c r="B10" s="187"/>
      <c r="C10" s="247"/>
      <c r="D10" s="247"/>
      <c r="E10" s="247"/>
      <c r="F10" s="191"/>
      <c r="G10" s="117"/>
      <c r="H10" s="38"/>
    </row>
    <row r="11" spans="1:8">
      <c r="A11" s="190"/>
      <c r="B11" s="194"/>
      <c r="C11" s="197">
        <f>SUM(F8:F10)</f>
        <v>1</v>
      </c>
      <c r="D11"/>
      <c r="E11"/>
      <c r="F11"/>
      <c r="G11"/>
      <c r="H11" s="38"/>
    </row>
    <row r="12" spans="1:8" ht="18.75">
      <c r="A12" s="74" t="s">
        <v>191</v>
      </c>
      <c r="B12" s="19">
        <f>КАГ!B8</f>
        <v>45734</v>
      </c>
      <c r="C12" s="11"/>
      <c r="D12" s="15" t="s">
        <v>186</v>
      </c>
      <c r="E12" s="28"/>
      <c r="F12" s="28"/>
      <c r="G12" s="16"/>
      <c r="H12" s="17"/>
    </row>
    <row r="13" spans="1:8" ht="15.75">
      <c r="A13" s="75" t="s">
        <v>193</v>
      </c>
      <c r="B13" s="21">
        <f>КАГ!B10</f>
        <v>0.98611111111111116</v>
      </c>
      <c r="C13" s="11"/>
      <c r="D13" s="93" t="s">
        <v>172</v>
      </c>
      <c r="E13" s="91"/>
      <c r="F13" s="91"/>
      <c r="G13" s="78" t="str">
        <f>КАГ!G9</f>
        <v>Щербаков А.С.</v>
      </c>
      <c r="H13" s="89" t="str">
        <f>IF(ISBLANK(КАГ!H9),"",КАГ!H9)</f>
        <v/>
      </c>
    </row>
    <row r="14" spans="1:8" ht="15.75">
      <c r="A14" s="75" t="s">
        <v>194</v>
      </c>
      <c r="B14" s="21">
        <v>5.2083333333333336E-2</v>
      </c>
      <c r="C14" s="11"/>
      <c r="D14" s="94" t="s">
        <v>173</v>
      </c>
      <c r="E14" s="92"/>
      <c r="F14" s="92"/>
      <c r="G14" s="79" t="str">
        <f>КАГ!G10</f>
        <v>Мешалкина И.В.</v>
      </c>
      <c r="H14" s="90" t="str">
        <f>IF(ISBLANK(КАГ!H10),"",КАГ!H10)</f>
        <v/>
      </c>
    </row>
    <row r="15" spans="1:8" ht="16.5" thickBot="1">
      <c r="A15" s="161" t="s">
        <v>385</v>
      </c>
      <c r="B15" s="186">
        <f>IF(B14&lt;B13,B14+1,B14)-B13</f>
        <v>6.5972222222222099E-2</v>
      </c>
      <c r="C15"/>
      <c r="D15" s="94" t="s">
        <v>170</v>
      </c>
      <c r="E15" s="92"/>
      <c r="F15" s="92"/>
      <c r="G15" s="79" t="str">
        <f>КАГ!G11</f>
        <v>Герасимов М.М.</v>
      </c>
      <c r="H15" s="90" t="str">
        <f>IF(ISBLANK(КАГ!H11),"",КАГ!H11)</f>
        <v/>
      </c>
    </row>
    <row r="16" spans="1:8" ht="17.25" thickTop="1" thickBot="1">
      <c r="A16" s="88" t="s">
        <v>192</v>
      </c>
      <c r="B16" s="199" t="str">
        <f>КАГ!B11</f>
        <v>Матвеев Р.А.</v>
      </c>
      <c r="C16" s="198">
        <f>LEN(КАГ!B11)</f>
        <v>12</v>
      </c>
      <c r="D16" s="94" t="s">
        <v>302</v>
      </c>
      <c r="E16" s="92"/>
      <c r="F16" s="92"/>
      <c r="G16" s="79" t="str">
        <f>КАГ!G12</f>
        <v>Мишина Е.А</v>
      </c>
      <c r="H16" s="90" t="str">
        <f>IF(ISBLANK(КАГ!H12),"",КАГ!H12)</f>
        <v/>
      </c>
    </row>
    <row r="17" spans="1:8" ht="16.5" thickTop="1">
      <c r="A17" s="14" t="s">
        <v>8</v>
      </c>
      <c r="B17" s="66">
        <f>КАГ!B12</f>
        <v>26849</v>
      </c>
      <c r="C17"/>
      <c r="D17" s="94" t="s">
        <v>184</v>
      </c>
      <c r="E17" s="92"/>
      <c r="F17" s="92"/>
      <c r="G17" s="79" t="str">
        <f>IF(ISBLANK(КАГ!G13),"",КАГ!G13)</f>
        <v/>
      </c>
      <c r="H17" s="90" t="str">
        <f>IF(ISBLANK(КАГ!H13),"",КАГ!H13)</f>
        <v/>
      </c>
    </row>
    <row r="18" spans="1:8" ht="15.75">
      <c r="A18" s="14" t="s">
        <v>10</v>
      </c>
      <c r="B18" s="29">
        <f>КАГ!B13</f>
        <v>51</v>
      </c>
      <c r="C18"/>
      <c r="D18"/>
      <c r="E18"/>
      <c r="F18"/>
      <c r="G18"/>
      <c r="H18" s="38"/>
    </row>
    <row r="19" spans="1:8" ht="14.45" customHeight="1">
      <c r="A19" s="14" t="s">
        <v>12</v>
      </c>
      <c r="B19" s="67">
        <f>КАГ!B14</f>
        <v>7542</v>
      </c>
      <c r="C19" s="68"/>
      <c r="D19" s="68"/>
      <c r="E19" s="68"/>
      <c r="F19" s="68"/>
      <c r="G19" s="163" t="s">
        <v>397</v>
      </c>
      <c r="H19" s="178" t="str">
        <f>КАГ!H15</f>
        <v>41:12</v>
      </c>
    </row>
    <row r="20" spans="1:8" ht="14.45" customHeight="1">
      <c r="A20" s="14" t="s">
        <v>133</v>
      </c>
      <c r="B20" s="67">
        <f>КАГ!B15</f>
        <v>35</v>
      </c>
      <c r="C20" s="69"/>
      <c r="D20" s="69"/>
      <c r="E20" s="69"/>
      <c r="F20" s="69"/>
      <c r="G20" s="164" t="s">
        <v>399</v>
      </c>
      <c r="H20" s="179">
        <f>КАГ!H16</f>
        <v>14900</v>
      </c>
    </row>
    <row r="21" spans="1:8" ht="14.45" customHeight="1">
      <c r="A21" s="14" t="s">
        <v>106</v>
      </c>
      <c r="B21" s="66" t="str">
        <f>КАГ!B16</f>
        <v>ОКС с ↑ ST</v>
      </c>
      <c r="C21" s="69"/>
      <c r="D21"/>
      <c r="E21" s="70"/>
      <c r="F21" s="70"/>
      <c r="G21" s="165" t="s">
        <v>386</v>
      </c>
      <c r="H21" s="166">
        <f>КАГ!H17</f>
        <v>28.31</v>
      </c>
    </row>
    <row r="22" spans="1:8" ht="14.45" customHeight="1">
      <c r="A22" s="56" t="str">
        <f>КАГ!G18</f>
        <v>Доступ:</v>
      </c>
      <c r="B22" s="76" t="str">
        <f>КАГ!H18</f>
        <v>лучевой</v>
      </c>
      <c r="C22" s="69"/>
      <c r="D22" s="69"/>
      <c r="E22" s="69"/>
      <c r="F22" s="69"/>
      <c r="G22" s="182"/>
      <c r="H22" s="183"/>
    </row>
    <row r="23" spans="1:8" ht="14.45" customHeight="1">
      <c r="A23" s="64" t="s">
        <v>389</v>
      </c>
      <c r="B23" s="170" t="s">
        <v>388</v>
      </c>
      <c r="C23" s="160"/>
      <c r="D23" s="160"/>
      <c r="E23" s="160"/>
      <c r="F23" s="160"/>
      <c r="G23"/>
      <c r="H23" s="38"/>
    </row>
    <row r="24" spans="1:8" ht="14.45" customHeight="1">
      <c r="A24" s="181" t="s">
        <v>387</v>
      </c>
      <c r="B24" s="168"/>
      <c r="C24" s="168"/>
      <c r="D24" s="168"/>
      <c r="E24" s="168"/>
      <c r="F24" s="168"/>
      <c r="G24" s="168"/>
      <c r="H24" s="169"/>
    </row>
    <row r="25" spans="1:8" ht="14.45" customHeight="1">
      <c r="A25" s="251" t="s">
        <v>546</v>
      </c>
      <c r="B25" s="252"/>
      <c r="C25" s="252"/>
      <c r="D25" s="252"/>
      <c r="E25" s="252"/>
      <c r="F25" s="252"/>
      <c r="G25" s="252"/>
      <c r="H25" s="253"/>
    </row>
    <row r="26" spans="1:8" ht="14.45" customHeight="1">
      <c r="A26" s="254"/>
      <c r="B26" s="252"/>
      <c r="C26" s="252"/>
      <c r="D26" s="252"/>
      <c r="E26" s="252"/>
      <c r="F26" s="252"/>
      <c r="G26" s="252"/>
      <c r="H26" s="253"/>
    </row>
    <row r="27" spans="1:8" ht="14.45" customHeight="1">
      <c r="A27" s="254"/>
      <c r="B27" s="252"/>
      <c r="C27" s="252"/>
      <c r="D27" s="252"/>
      <c r="E27" s="252"/>
      <c r="F27" s="252"/>
      <c r="G27" s="252"/>
      <c r="H27" s="253"/>
    </row>
    <row r="28" spans="1:8" ht="14.45" customHeight="1">
      <c r="A28" s="254"/>
      <c r="B28" s="252"/>
      <c r="C28" s="252"/>
      <c r="D28" s="252"/>
      <c r="E28" s="252"/>
      <c r="F28" s="252"/>
      <c r="G28" s="252"/>
      <c r="H28" s="253"/>
    </row>
    <row r="29" spans="1:8" ht="14.45" customHeight="1">
      <c r="A29" s="254"/>
      <c r="B29" s="252"/>
      <c r="C29" s="252"/>
      <c r="D29" s="252"/>
      <c r="E29" s="252"/>
      <c r="F29" s="252"/>
      <c r="G29" s="252"/>
      <c r="H29" s="253"/>
    </row>
    <row r="30" spans="1:8" ht="14.45" customHeight="1">
      <c r="A30" s="254"/>
      <c r="B30" s="252"/>
      <c r="C30" s="252"/>
      <c r="D30" s="252"/>
      <c r="E30" s="252"/>
      <c r="F30" s="252"/>
      <c r="G30" s="252"/>
      <c r="H30" s="253"/>
    </row>
    <row r="31" spans="1:8" ht="14.45" customHeight="1">
      <c r="A31" s="254"/>
      <c r="B31" s="252"/>
      <c r="C31" s="252"/>
      <c r="D31" s="252"/>
      <c r="E31" s="252"/>
      <c r="F31" s="252"/>
      <c r="G31" s="252"/>
      <c r="H31" s="253"/>
    </row>
    <row r="32" spans="1:8" ht="14.45" customHeight="1">
      <c r="A32" s="254"/>
      <c r="B32" s="252"/>
      <c r="C32" s="252"/>
      <c r="D32" s="252"/>
      <c r="E32" s="252"/>
      <c r="F32" s="252"/>
      <c r="G32" s="252"/>
      <c r="H32" s="253"/>
    </row>
    <row r="33" spans="1:12" ht="14.45" customHeight="1">
      <c r="A33" s="254"/>
      <c r="B33" s="252"/>
      <c r="C33" s="252"/>
      <c r="D33" s="252"/>
      <c r="E33" s="252"/>
      <c r="F33" s="252"/>
      <c r="G33" s="252"/>
      <c r="H33" s="253"/>
    </row>
    <row r="34" spans="1:12" ht="14.45" customHeight="1">
      <c r="A34" s="254"/>
      <c r="B34" s="252"/>
      <c r="C34" s="252"/>
      <c r="D34" s="252"/>
      <c r="E34" s="252"/>
      <c r="F34" s="252"/>
      <c r="G34" s="252"/>
      <c r="H34" s="253"/>
    </row>
    <row r="35" spans="1:12" ht="14.45" customHeight="1">
      <c r="A35" s="254"/>
      <c r="B35" s="252"/>
      <c r="C35" s="252"/>
      <c r="D35" s="252"/>
      <c r="E35" s="252"/>
      <c r="F35" s="252"/>
      <c r="G35" s="252"/>
      <c r="H35" s="253"/>
    </row>
    <row r="36" spans="1:12" ht="14.45" customHeight="1">
      <c r="A36" s="254"/>
      <c r="B36" s="252"/>
      <c r="C36" s="252"/>
      <c r="D36" s="252"/>
      <c r="E36" s="252"/>
      <c r="F36" s="252"/>
      <c r="G36" s="252"/>
      <c r="H36" s="253"/>
    </row>
    <row r="37" spans="1:12" ht="14.45" customHeight="1">
      <c r="A37" s="254"/>
      <c r="B37" s="252"/>
      <c r="C37" s="252"/>
      <c r="D37" s="252"/>
      <c r="E37" s="252"/>
      <c r="F37" s="252"/>
      <c r="G37" s="252"/>
      <c r="H37" s="253"/>
    </row>
    <row r="38" spans="1:12" ht="14.45" customHeight="1">
      <c r="A38" s="175" t="s">
        <v>393</v>
      </c>
      <c r="B38" s="173"/>
      <c r="C38" s="174"/>
      <c r="D38" s="174"/>
      <c r="E38" s="184" t="str">
        <f>IF(A6=Вмешательства!D4,Вмешательства!V16,IF(ЧКВ!A6=Вмешательства!D36,Вмешательства!V16,"-----"))</f>
        <v>-----</v>
      </c>
      <c r="F38" s="174"/>
      <c r="G38" s="177"/>
      <c r="H38"/>
    </row>
    <row r="39" spans="1:12" ht="15.75">
      <c r="A39" s="171" t="s">
        <v>390</v>
      </c>
      <c r="B39" s="69" t="s">
        <v>392</v>
      </c>
      <c r="C39" s="120"/>
      <c r="D39" s="121" t="s">
        <v>187</v>
      </c>
      <c r="E39" s="71"/>
      <c r="F39" s="71"/>
      <c r="G39" s="71"/>
      <c r="H39" s="72"/>
    </row>
    <row r="40" spans="1:12" ht="14.45" customHeight="1">
      <c r="A40" s="172" t="s">
        <v>391</v>
      </c>
      <c r="B40" s="176" t="s">
        <v>520</v>
      </c>
      <c r="C40" s="119"/>
      <c r="D40" s="248" t="s">
        <v>528</v>
      </c>
      <c r="E40" s="249"/>
      <c r="F40" s="249"/>
      <c r="G40" s="249"/>
      <c r="H40" s="250"/>
    </row>
    <row r="41" spans="1:12" ht="14.45" customHeight="1">
      <c r="A41" s="31"/>
      <c r="B41" s="27"/>
      <c r="C41" s="119"/>
      <c r="D41" s="249"/>
      <c r="E41" s="249"/>
      <c r="F41" s="249"/>
      <c r="G41" s="249"/>
      <c r="H41" s="250"/>
    </row>
    <row r="42" spans="1:12" ht="14.45" customHeight="1">
      <c r="A42" s="31"/>
      <c r="B42" s="27"/>
      <c r="C42" s="119"/>
      <c r="D42" s="249"/>
      <c r="E42" s="249"/>
      <c r="F42" s="249"/>
      <c r="G42" s="249"/>
      <c r="H42" s="250"/>
    </row>
    <row r="43" spans="1:12" ht="14.45" customHeight="1">
      <c r="A43" s="31"/>
      <c r="B43" s="27"/>
      <c r="C43" s="119"/>
      <c r="D43" s="249"/>
      <c r="E43" s="249"/>
      <c r="F43" s="249"/>
      <c r="G43" s="249"/>
      <c r="H43" s="250"/>
    </row>
    <row r="44" spans="1:12" ht="14.45" customHeight="1">
      <c r="A44" s="31"/>
      <c r="B44" s="27"/>
      <c r="C44" s="119"/>
      <c r="D44" s="249"/>
      <c r="E44" s="249"/>
      <c r="F44" s="249"/>
      <c r="G44" s="249"/>
      <c r="H44" s="250"/>
      <c r="L44" s="158"/>
    </row>
    <row r="45" spans="1:12" ht="14.45" customHeight="1">
      <c r="A45" s="31"/>
      <c r="B45" s="27"/>
      <c r="C45" s="119"/>
      <c r="D45" s="249"/>
      <c r="E45" s="249"/>
      <c r="F45" s="249"/>
      <c r="G45" s="249"/>
      <c r="H45" s="250"/>
    </row>
    <row r="46" spans="1:12" ht="14.45" customHeight="1">
      <c r="A46" s="31"/>
      <c r="B46" s="27"/>
      <c r="C46" s="119"/>
      <c r="D46" s="249"/>
      <c r="E46" s="249"/>
      <c r="F46" s="249"/>
      <c r="G46" s="249"/>
      <c r="H46" s="250"/>
    </row>
    <row r="47" spans="1:12" ht="14.45" customHeight="1">
      <c r="A47" s="37"/>
      <c r="B47"/>
      <c r="C47" s="119"/>
      <c r="D47" s="249"/>
      <c r="E47" s="249"/>
      <c r="F47" s="249"/>
      <c r="G47" s="249"/>
      <c r="H47" s="250"/>
    </row>
    <row r="48" spans="1:12" ht="14.45" customHeight="1">
      <c r="A48" s="37"/>
      <c r="B48"/>
      <c r="C48" s="119"/>
      <c r="D48" s="249"/>
      <c r="E48" s="249"/>
      <c r="F48" s="249"/>
      <c r="G48" s="249"/>
      <c r="H48" s="250"/>
    </row>
    <row r="49" spans="1:8" ht="14.45" customHeight="1">
      <c r="A49" s="37"/>
      <c r="B49"/>
      <c r="C49" s="119"/>
      <c r="D49" s="249"/>
      <c r="E49" s="249"/>
      <c r="F49" s="249"/>
      <c r="G49" s="249"/>
      <c r="H49" s="250"/>
    </row>
    <row r="50" spans="1:8">
      <c r="A50" s="61" t="s">
        <v>204</v>
      </c>
      <c r="B50" s="62" t="s">
        <v>540</v>
      </c>
      <c r="C50"/>
      <c r="D50"/>
      <c r="E50"/>
      <c r="F50"/>
      <c r="G50"/>
      <c r="H50" s="38"/>
    </row>
    <row r="51" spans="1:8">
      <c r="A51" s="64" t="s">
        <v>206</v>
      </c>
      <c r="B51" s="65" t="s">
        <v>526</v>
      </c>
      <c r="C51"/>
      <c r="D51"/>
      <c r="E51"/>
      <c r="F51"/>
      <c r="G51" s="73" t="str">
        <f>$G$13</f>
        <v>Щербаков А.С.</v>
      </c>
      <c r="H51" s="63"/>
    </row>
    <row r="52" spans="1:8">
      <c r="A52" s="234" t="s">
        <v>369</v>
      </c>
      <c r="B52" s="235"/>
      <c r="C52" s="235"/>
      <c r="D52" s="235"/>
      <c r="E52" s="235"/>
      <c r="F52" s="236"/>
      <c r="G52"/>
      <c r="H52" s="38"/>
    </row>
    <row r="53" spans="1:8" ht="15" customHeight="1">
      <c r="A53" s="237"/>
      <c r="B53" s="238"/>
      <c r="C53" s="238"/>
      <c r="D53" s="238"/>
      <c r="E53" s="238"/>
      <c r="F53" s="239"/>
      <c r="G53" s="73" t="str">
        <f>IF(ISBLANK(H13),"",H13)</f>
        <v/>
      </c>
      <c r="H53" s="63"/>
    </row>
    <row r="54" spans="1:8">
      <c r="A54" s="240"/>
      <c r="B54" s="241"/>
      <c r="C54" s="241"/>
      <c r="D54" s="241"/>
      <c r="E54" s="241"/>
      <c r="F54" s="242"/>
      <c r="G54" s="30"/>
      <c r="H54" s="40"/>
    </row>
    <row r="55" spans="1:8">
      <c r="A55"/>
      <c r="B55"/>
      <c r="C55"/>
      <c r="D55"/>
      <c r="E55"/>
      <c r="F55"/>
      <c r="G55"/>
      <c r="H55"/>
    </row>
    <row r="56" spans="1:8"/>
    <row r="57" spans="1:8"/>
    <row r="58" spans="1:8"/>
    <row r="59" spans="1:8"/>
    <row r="60" spans="1:8" ht="18" hidden="1" customHeight="1"/>
  </sheetData>
  <sheetProtection sheet="1" objects="1" scenarios="1"/>
  <mergeCells count="7">
    <mergeCell ref="A52:F54"/>
    <mergeCell ref="C8:E8"/>
    <mergeCell ref="A6:H7"/>
    <mergeCell ref="C9:E9"/>
    <mergeCell ref="C10:E10"/>
    <mergeCell ref="D40:H49"/>
    <mergeCell ref="A25:H37"/>
  </mergeCells>
  <phoneticPr fontId="15"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7" customWidth="1"/>
    <col min="6" max="16384" width="9.140625" hidden="1"/>
  </cols>
  <sheetData>
    <row r="1" spans="1:1">
      <c r="A1" s="3" t="str">
        <f>КАГ!A6</f>
        <v>КОРОНАРОГРАФИЯ</v>
      </c>
    </row>
    <row r="2" spans="1:1"/>
    <row r="3" spans="1:1" ht="354" customHeight="1">
      <c r="A3" s="208" t="str">
        <f>КАГ!A18&amp;"   "&amp;КАГ!B18&amp;CHAR(10)&amp;CHAR(10)&amp;КАГ!A20&amp;"   "&amp;КАГ!B20&amp;CHAR(10)&amp;CHAR(10)&amp;КАГ!A22&amp;"   "&amp;КАГ!B22&amp;CHAR(10)&amp;CHAR(10)&amp;КАГ!A27&amp;"   "&amp;КАГ!B27&amp;CHAR(10)&amp;CHAR(10)&amp;КАГ!A32&amp;"   "&amp;КАГ!B32</f>
        <v>Тип:   Правый
Ствол ЛКА:   стеноз дистальной трети 40%
Бассейн ПНА:   субокклюзия проксимального сегмента (TTG1); стеноз среднего сегмента до 70%; устьевой стеноз ДВ1 70%; кровоток TIMI II - III
Бассейн  ОА:   устьевой стеноз 40%, кровоток TIMI III
Бассейн ПКА:   стеноз среднего сегмента 30%;, кровоток TIMI III</v>
      </c>
    </row>
    <row r="4" spans="1:1">
      <c r="A4" s="207"/>
    </row>
    <row r="5" spans="1:1">
      <c r="A5" s="207"/>
    </row>
    <row r="6" spans="1:1">
      <c r="A6" s="207"/>
    </row>
    <row r="7" spans="1:1">
      <c r="A7" s="207"/>
    </row>
    <row r="8" spans="1:1">
      <c r="A8" s="207"/>
    </row>
    <row r="9" spans="1:1">
      <c r="A9" s="207"/>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D21" sqref="D21"/>
    </sheetView>
  </sheetViews>
  <sheetFormatPr defaultColWidth="0" defaultRowHeight="15" zeroHeight="1"/>
  <cols>
    <col min="1" max="1" width="18.7109375" style="211" customWidth="1"/>
    <col min="2" max="2" width="45.7109375" style="211" customWidth="1"/>
    <col min="3" max="3" width="15.7109375" style="211" customWidth="1"/>
    <col min="4" max="4" width="20.7109375" style="211" customWidth="1"/>
    <col min="5" max="5" width="7.7109375" style="211" bestFit="1" customWidth="1"/>
    <col min="6" max="6" width="10.7109375" style="211" bestFit="1" customWidth="1"/>
    <col min="7" max="8" width="10.7109375" style="211" hidden="1" customWidth="1"/>
    <col min="9" max="13" width="11.7109375" style="211" hidden="1" customWidth="1"/>
    <col min="14" max="16384" width="9.140625" style="211" hidden="1"/>
  </cols>
  <sheetData>
    <row r="1" spans="1:4">
      <c r="A1" s="26"/>
      <c r="B1" s="111"/>
      <c r="C1" s="111"/>
      <c r="D1" s="112"/>
    </row>
    <row r="2" spans="1:4" ht="19.899999999999999" customHeight="1">
      <c r="A2" s="95" t="s">
        <v>98</v>
      </c>
      <c r="B2" s="96">
        <f>$D$10</f>
        <v>45734</v>
      </c>
      <c r="C2" s="151" t="str">
        <f>IF(ЧКВ!A6=Вмешательства!D4,Вмешательства!F20,IF(ЧКВ!A6=Вмешательства!D36,Вмешательства!F20,Вмешательства!F22))</f>
        <v>ОМС</v>
      </c>
      <c r="D2" s="97" t="s">
        <v>99</v>
      </c>
    </row>
    <row r="3" spans="1:4" ht="20.45" customHeight="1">
      <c r="A3" s="98" t="s">
        <v>97</v>
      </c>
      <c r="B3" s="99"/>
      <c r="C3"/>
      <c r="D3" s="38"/>
    </row>
    <row r="4" spans="1:4" ht="16.5" thickBot="1">
      <c r="A4" s="146" t="s">
        <v>195</v>
      </c>
      <c r="B4" s="147" t="s">
        <v>105</v>
      </c>
      <c r="C4" s="148" t="s">
        <v>15</v>
      </c>
      <c r="D4" s="202" t="str">
        <f>КАГ!$B$11</f>
        <v>Матвеев Р.А.</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2" t="str">
        <f>IF(ISBLANK(КАГ!A6),"",КАГ!A6)</f>
        <v>КОРОНАРОГРАФИЯ</v>
      </c>
      <c r="C5" s="130" t="s">
        <v>8</v>
      </c>
      <c r="D5" s="101">
        <f>КАГ!$B$12</f>
        <v>26849</v>
      </c>
    </row>
    <row r="6" spans="1:4">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A16.12.028.003</v>
      </c>
      <c r="B6" s="133" t="str">
        <f>ЧКВ!A6</f>
        <v>Стентирование коронарной артерии</v>
      </c>
      <c r="C6" s="130" t="s">
        <v>10</v>
      </c>
      <c r="D6" s="102">
        <f>DATEDIF(D5,D10,"y")</f>
        <v>51</v>
      </c>
    </row>
    <row r="7" spans="1:4">
      <c r="A7" s="37"/>
      <c r="B7"/>
      <c r="C7" s="100" t="s">
        <v>12</v>
      </c>
      <c r="D7" s="102">
        <f>КАГ!$B$14</f>
        <v>7542</v>
      </c>
    </row>
    <row r="8" spans="1:4">
      <c r="A8" s="192" t="str">
        <f>ЧКВ!$A$9</f>
        <v xml:space="preserve">Код модели:  </v>
      </c>
      <c r="B8" s="103"/>
      <c r="C8" s="100" t="s">
        <v>133</v>
      </c>
      <c r="D8" s="102">
        <f>КАГ!$B$15</f>
        <v>35</v>
      </c>
    </row>
    <row r="9" spans="1:4">
      <c r="A9" s="192" t="str">
        <f>ЧКВ!$A$10</f>
        <v xml:space="preserve">Код метода:  </v>
      </c>
      <c r="B9"/>
      <c r="C9" s="104" t="s">
        <v>106</v>
      </c>
      <c r="D9" s="102" t="str">
        <f>КАГ!$B$16</f>
        <v>ОКС с ↑ ST</v>
      </c>
    </row>
    <row r="10" spans="1:4">
      <c r="A10" s="193"/>
      <c r="B10" s="30"/>
      <c r="C10" s="149" t="s">
        <v>13</v>
      </c>
      <c r="D10" s="150">
        <f>КАГ!$B$8</f>
        <v>45734</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2" t="s">
        <v>305</v>
      </c>
      <c r="C13" s="185"/>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3" t="s">
        <v>324</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3" t="s">
        <v>517</v>
      </c>
      <c r="C15" s="134">
        <v>0.7</v>
      </c>
      <c r="D15" s="139">
        <v>2</v>
      </c>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
      </c>
      <c r="B16" s="153" t="s">
        <v>542</v>
      </c>
      <c r="C16" s="180" t="s">
        <v>465</v>
      </c>
      <c r="D16" s="139">
        <v>1</v>
      </c>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3" t="s">
        <v>530</v>
      </c>
      <c r="C17" s="134" t="s">
        <v>544</v>
      </c>
      <c r="D17" s="139">
        <v>1</v>
      </c>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
      </c>
      <c r="B18" s="153" t="s">
        <v>543</v>
      </c>
      <c r="C18" s="134" t="s">
        <v>452</v>
      </c>
      <c r="D18" s="139">
        <v>1</v>
      </c>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9" s="153" t="s">
        <v>373</v>
      </c>
      <c r="C19" s="180" t="s">
        <v>409</v>
      </c>
      <c r="D19" s="139">
        <v>1</v>
      </c>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Extension катетер</v>
      </c>
      <c r="B20" s="153" t="s">
        <v>342</v>
      </c>
      <c r="C20" s="134"/>
      <c r="D20" s="139">
        <v>1</v>
      </c>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
      </c>
      <c r="B21" s="153"/>
      <c r="C21" s="134"/>
      <c r="D21" s="139"/>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
      </c>
      <c r="B22" s="153"/>
      <c r="C22" s="134"/>
      <c r="D22" s="141"/>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
      </c>
      <c r="B23" s="153"/>
      <c r="C23" s="134"/>
      <c r="D23" s="141"/>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c>
      <c r="B24" s="153"/>
      <c r="C24" s="134"/>
      <c r="D24" s="141"/>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c>
      <c r="B25" s="154"/>
      <c r="C25" s="144"/>
      <c r="D25" s="145"/>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2"/>
    </row>
    <row r="42" spans="1:4"/>
    <row r="43" spans="1:4"/>
    <row r="44" spans="1:4"/>
    <row r="45" spans="1:4"/>
    <row r="46" spans="1:4"/>
  </sheetData>
  <sheetProtection formatCells="0" formatColumns="0" formatRows="0" sort="0" autoFilter="0"/>
  <phoneticPr fontId="15" type="noConversion"/>
  <dataValidations count="13">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B19">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20:B21 B17">
      <formula1>ВЫП.Список_Расходка_9</formula1>
    </dataValidation>
    <dataValidation type="list" allowBlank="1" showInputMessage="1" sqref="B22">
      <formula1>ВЫП.Список_Расходка_10</formula1>
    </dataValidation>
    <dataValidation type="list" allowBlank="1" showInputMessage="1" sqref="B23 B18">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F8" sqref="F8"/>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398</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1"/>
      <c r="I10" s="11"/>
      <c r="J10" s="3"/>
      <c r="K10" s="3"/>
      <c r="L10" s="3"/>
      <c r="M10" s="3"/>
      <c r="N10" s="11"/>
      <c r="O10" s="11"/>
      <c r="P10" s="11"/>
      <c r="Q10" s="11"/>
      <c r="R10" s="11"/>
      <c r="S10" s="11"/>
      <c r="T10" s="11"/>
      <c r="V10" t="s">
        <v>224</v>
      </c>
    </row>
    <row r="11" spans="1:23">
      <c r="A11" s="8">
        <v>10</v>
      </c>
      <c r="B11" s="2" t="s">
        <v>19</v>
      </c>
      <c r="C11" s="8" t="s">
        <v>232</v>
      </c>
      <c r="D11" s="5" t="s">
        <v>20</v>
      </c>
      <c r="G11" s="3"/>
      <c r="H11" s="11"/>
      <c r="I11" s="11"/>
      <c r="J11" s="11"/>
      <c r="K11" s="11"/>
      <c r="L11" s="11"/>
      <c r="M11" s="11"/>
      <c r="N11" s="11"/>
      <c r="O11" s="11"/>
      <c r="P11" s="11"/>
      <c r="Q11" s="11"/>
      <c r="R11" s="11"/>
      <c r="S11" s="11"/>
      <c r="T11" s="11"/>
      <c r="V11" t="s">
        <v>216</v>
      </c>
      <c r="W11" s="11"/>
    </row>
    <row r="12" spans="1:23">
      <c r="A12" s="8">
        <v>11</v>
      </c>
      <c r="B12" s="2" t="s">
        <v>21</v>
      </c>
      <c r="C12" s="8" t="s">
        <v>233</v>
      </c>
      <c r="D12" s="5" t="s">
        <v>22</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v>12</v>
      </c>
      <c r="B13" s="2" t="s">
        <v>23</v>
      </c>
      <c r="C13" s="8" t="s">
        <v>234</v>
      </c>
      <c r="D13" s="5" t="s">
        <v>24</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v>13</v>
      </c>
      <c r="B14" s="2" t="s">
        <v>27</v>
      </c>
      <c r="C14" s="8" t="s">
        <v>235</v>
      </c>
      <c r="D14" s="5" t="s">
        <v>28</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v>14</v>
      </c>
      <c r="B15" s="2" t="s">
        <v>29</v>
      </c>
      <c r="C15" s="8" t="s">
        <v>236</v>
      </c>
      <c r="D15" s="5" t="s">
        <v>30</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v>15</v>
      </c>
      <c r="B16" s="2" t="s">
        <v>31</v>
      </c>
      <c r="C16" s="8" t="s">
        <v>237</v>
      </c>
      <c r="D16" s="5" t="s">
        <v>32</v>
      </c>
      <c r="V16" t="s">
        <v>394</v>
      </c>
    </row>
    <row r="17" spans="1:23">
      <c r="A17" s="8">
        <v>16</v>
      </c>
      <c r="B17" s="2" t="s">
        <v>33</v>
      </c>
      <c r="C17" s="8" t="s">
        <v>238</v>
      </c>
      <c r="D17" s="5" t="s">
        <v>34</v>
      </c>
      <c r="F17" t="s">
        <v>486</v>
      </c>
      <c r="V17" t="s">
        <v>395</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304</v>
      </c>
      <c r="J20" s="11"/>
    </row>
    <row r="21" spans="1:23" ht="30">
      <c r="A21" s="8">
        <v>20</v>
      </c>
      <c r="B21" s="2" t="s">
        <v>49</v>
      </c>
      <c r="C21" s="8" t="s">
        <v>50</v>
      </c>
      <c r="D21" s="5" t="s">
        <v>51</v>
      </c>
      <c r="F21" t="s">
        <v>335</v>
      </c>
      <c r="J21" s="11"/>
    </row>
    <row r="22" spans="1:23" ht="30">
      <c r="A22" s="8">
        <v>21</v>
      </c>
      <c r="B22" s="2" t="s">
        <v>52</v>
      </c>
      <c r="C22" s="8" t="s">
        <v>53</v>
      </c>
      <c r="D22" s="5" t="s">
        <v>54</v>
      </c>
      <c r="F22" t="s">
        <v>336</v>
      </c>
      <c r="J22" s="11"/>
      <c r="U22" s="2"/>
    </row>
    <row r="23" spans="1:23">
      <c r="A23" s="8">
        <v>22</v>
      </c>
      <c r="B23" s="2" t="s">
        <v>55</v>
      </c>
      <c r="C23" s="8" t="s">
        <v>56</v>
      </c>
      <c r="D23" s="5" t="s">
        <v>57</v>
      </c>
      <c r="F23" t="s">
        <v>346</v>
      </c>
      <c r="J23" s="11"/>
      <c r="U23" s="2"/>
    </row>
    <row r="24" spans="1:23">
      <c r="A24" s="8">
        <v>23</v>
      </c>
      <c r="B24" s="2" t="s">
        <v>58</v>
      </c>
      <c r="C24" s="8" t="s">
        <v>59</v>
      </c>
      <c r="D24" s="5" t="s">
        <v>60</v>
      </c>
      <c r="F24" t="s">
        <v>501</v>
      </c>
      <c r="H24" s="10"/>
      <c r="K24" s="2"/>
      <c r="U24" s="2"/>
      <c r="W24" s="11"/>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7" t="s">
        <v>244</v>
      </c>
      <c r="D27" s="5" t="s">
        <v>245</v>
      </c>
      <c r="H27" s="10"/>
      <c r="W27" s="10"/>
    </row>
    <row r="28" spans="1:23" ht="45">
      <c r="A28" s="8">
        <v>27</v>
      </c>
      <c r="B28" s="2" t="s">
        <v>68</v>
      </c>
      <c r="C28" s="77" t="s">
        <v>69</v>
      </c>
      <c r="D28" s="5" t="s">
        <v>70</v>
      </c>
      <c r="H28" s="10"/>
      <c r="W28" s="10"/>
    </row>
    <row r="29" spans="1:23" ht="30">
      <c r="A29" s="8">
        <v>28</v>
      </c>
      <c r="B29" s="2" t="s">
        <v>71</v>
      </c>
      <c r="C29" s="77" t="s">
        <v>72</v>
      </c>
      <c r="D29" s="5" t="s">
        <v>73</v>
      </c>
      <c r="H29" s="10"/>
      <c r="W29" s="10"/>
    </row>
    <row r="30" spans="1:23">
      <c r="A30" s="8">
        <v>29</v>
      </c>
      <c r="B30" s="2" t="s">
        <v>74</v>
      </c>
      <c r="C30" s="77" t="s">
        <v>240</v>
      </c>
      <c r="D30" s="5" t="s">
        <v>75</v>
      </c>
      <c r="H30" s="10"/>
      <c r="W30" s="10"/>
    </row>
    <row r="31" spans="1:23">
      <c r="A31" s="8">
        <v>30</v>
      </c>
      <c r="B31" s="2" t="s">
        <v>76</v>
      </c>
      <c r="C31" s="77" t="s">
        <v>239</v>
      </c>
      <c r="D31" s="5" t="s">
        <v>77</v>
      </c>
      <c r="H31" s="10"/>
      <c r="W31" s="10"/>
    </row>
    <row r="32" spans="1:23">
      <c r="A32" s="8">
        <v>31</v>
      </c>
      <c r="B32" s="2" t="s">
        <v>78</v>
      </c>
      <c r="C32" s="77" t="s">
        <v>241</v>
      </c>
      <c r="D32" s="5" t="s">
        <v>79</v>
      </c>
      <c r="H32" s="10"/>
      <c r="W32" s="10"/>
    </row>
    <row r="33" spans="1:23">
      <c r="A33" s="8">
        <v>32</v>
      </c>
      <c r="B33" s="2" t="s">
        <v>81</v>
      </c>
      <c r="C33" s="77" t="s">
        <v>82</v>
      </c>
      <c r="D33" s="5" t="s">
        <v>242</v>
      </c>
      <c r="H33" s="10"/>
      <c r="I33" s="10"/>
      <c r="W33" s="10"/>
    </row>
    <row r="34" spans="1:23">
      <c r="A34" s="8">
        <v>33</v>
      </c>
      <c r="B34" s="2" t="s">
        <v>83</v>
      </c>
      <c r="C34" s="77" t="s">
        <v>84</v>
      </c>
      <c r="D34" s="5" t="s">
        <v>243</v>
      </c>
      <c r="H34" s="10"/>
      <c r="W34" s="10"/>
    </row>
    <row r="35" spans="1:23">
      <c r="A35" s="8">
        <v>34</v>
      </c>
      <c r="B35" s="2"/>
      <c r="C35" s="77"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5"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zoomScaleNormal="100" workbookViewId="0">
      <selection activeCell="C7" sqref="C7"/>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hidden="1" customWidth="1" outlineLevel="1"/>
    <col min="11" max="17" width="4.42578125" style="115" hidden="1" customWidth="1" outlineLevel="1"/>
    <col min="18" max="30" width="4.42578125" style="114"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7"/>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0</v>
      </c>
      <c r="H2" s="115">
        <f>IF(ISNUMBER(SEARCH('Карта учёта'!$B$16,Расходка[[#This Row],[Наименование расходного материала]])),MAX($H$1:H1)+1,0)</f>
        <v>0</v>
      </c>
      <c r="I2" s="115">
        <f>IF(ISNUMBER(SEARCH('Карта учёта'!$B$17,Расходка[[#This Row],[Наименование расходного материала]])),MAX($I$1:I1)+1,0)</f>
        <v>0</v>
      </c>
      <c r="J2" s="115">
        <f>IF(ISNUMBER(SEARCH('Карта учёта'!$B$18,Расходка[[#This Row],[Наименование расходного материала]])),MAX($J$1:J1)+1,0)</f>
        <v>0</v>
      </c>
      <c r="K2" s="115">
        <f>IF(ISNUMBER(SEARCH('Карта учёта'!$B$19,Расходка[[#This Row],[Наименование расходного материала]])),MAX($K$1:K1)+1,0)</f>
        <v>0</v>
      </c>
      <c r="L2" s="115">
        <f>IF(ISNUMBER(SEARCH('Карта учёта'!$B$20,Расходка[[#This Row],[Наименование расходного материала]])),MAX($L$1:L1)+1,0)</f>
        <v>0</v>
      </c>
      <c r="M2" s="115">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5">
        <f>IF(ISNUMBER(SEARCH('Карта учёта'!$B$23,Расходка[[#This Row],[Наименование расходного материала]])),MAX($O$1:O1)+1,0)</f>
        <v>1</v>
      </c>
      <c r="P2" s="115">
        <f>IF(ISNUMBER(SEARCH('Карта учёта'!$B$24,Расходка[[#This Row],[Наименование расходного материала]])),MAX($P$1:P1)+1,0)</f>
        <v>1</v>
      </c>
      <c r="Q2" s="115">
        <f>IF(ISNUMBER(SEARCH('Карта учёта'!$B$25,Расходка[[#This Row],[Наименование расходного материала]])),MAX($Q$1:Q1)+1,0)</f>
        <v>1</v>
      </c>
      <c r="R2" s="114" t="str">
        <f>IFERROR(INDEX(Расходка[Наименование расходного материала],MATCH(Расходка[[#This Row],[№]],Поиск_расходки[Индекс1],0)),"")</f>
        <v>Индефлятор</v>
      </c>
      <c r="S2" s="114" t="str">
        <f>IFERROR(INDEX(Расходка[Наименование расходного материала],MATCH(Расходка[[#This Row],[№]],Поиск_расходки[Индекс2],0)),"")</f>
        <v>Launcher 6F EBU 3.5</v>
      </c>
      <c r="T2" s="114" t="str">
        <f>IFERROR(INDEX(Расходка[Наименование расходного материала],MATCH(Расходка[[#This Row],[№]],Поиск_расходки[Индекс3],0)),"")</f>
        <v>Shunmei</v>
      </c>
      <c r="U2" s="114" t="str">
        <f>IFERROR(INDEX(Расходка[Наименование расходного материала],MATCH(Расходка[[#This Row],[№]],Поиск_расходки[Индекс4],0)),"")</f>
        <v/>
      </c>
      <c r="V2" s="114" t="str">
        <f>IFERROR(INDEX(Расходка[Наименование расходного материала],MATCH(Расходка[[#This Row],[№]],Поиск_расходки[Индекс5],0)),"")</f>
        <v>Artimes</v>
      </c>
      <c r="W2" s="114" t="str">
        <f>IFERROR(INDEX(Расходка[Наименование расходного материала],MATCH(Расходка[[#This Row],[№]],Поиск_расходки[Индекс6],0)),"")</f>
        <v/>
      </c>
      <c r="X2" s="114" t="str">
        <f>IFERROR(INDEX(Расходка[Наименование расходного материала],MATCH(Расходка[[#This Row],[№]],Поиск_расходки[Индекс7],0)),"")</f>
        <v>Колибри</v>
      </c>
      <c r="Y2" s="114" t="str">
        <f>IFERROR(INDEX(Расходка[Наименование расходного материала],MATCH(Расходка[[#This Row],[№]],Поиск_расходки[Индекс8],0)),"")</f>
        <v>Telescope ™ II 6F</v>
      </c>
      <c r="Z2" s="114" t="str">
        <f>IFERROR(INDEX(Расходка[Наименование расходного материала],MATCH(Расходка[[#This Row],[№]],Поиск_расходки[Индекс9],0)),"")</f>
        <v>Hunter® 6F</v>
      </c>
      <c r="AA2" s="114" t="str">
        <f>IFERROR(INDEX(Расходка[Наименование расходного материала],MATCH(Расходка[[#This Row],[№]],Поиск_расходки[Индекс10],0)),"")</f>
        <v>Hunter® 6F</v>
      </c>
      <c r="AB2" s="114" t="str">
        <f>IFERROR(INDEX(Расходка[Наименование расходного материала],MATCH(Расходка[[#This Row],[№]],Поиск_расходки[Индекс11],0)),"")</f>
        <v>Hunter® 6F</v>
      </c>
      <c r="AC2" s="114" t="str">
        <f>IFERROR(INDEX(Расходка[Наименование расходного материала],MATCH(Расходка[[#This Row],[№]],Поиск_расходки[Индекс12],0)),"")</f>
        <v>Hunter® 6F</v>
      </c>
      <c r="AD2" s="114"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205">
        <v>155800</v>
      </c>
      <c r="AN2" s="206" t="s">
        <v>308</v>
      </c>
      <c r="AO2" s="207"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0</v>
      </c>
      <c r="H3" s="115">
        <f>IF(ISNUMBER(SEARCH('Карта учёта'!$B$16,Расходка[[#This Row],[Наименование расходного материала]])),MAX($H$1:H2)+1,0)</f>
        <v>0</v>
      </c>
      <c r="I3" s="115">
        <f>IF(ISNUMBER(SEARCH('Карта учёта'!$B$17,Расходка[[#This Row],[Наименование расходного материала]])),MAX($I$1:I2)+1,0)</f>
        <v>0</v>
      </c>
      <c r="J3" s="115">
        <f>IF(ISNUMBER(SEARCH('Карта учёта'!$B$18,Расходка[[#This Row],[Наименование расходного материала]])),MAX($J$1:J2)+1,0)</f>
        <v>0</v>
      </c>
      <c r="K3" s="115">
        <f>IF(ISNUMBER(SEARCH('Карта учёта'!$B$19,Расходка[[#This Row],[Наименование расходного материала]])),MAX($K$1:K2)+1,0)</f>
        <v>0</v>
      </c>
      <c r="L3" s="115">
        <f>IF(ISNUMBER(SEARCH('Карта учёта'!$B$20,Расходка[[#This Row],[Наименование расходного материала]])),MAX($L$1:L2)+1,0)</f>
        <v>0</v>
      </c>
      <c r="M3" s="115">
        <f>IF(ISNUMBER(SEARCH('Карта учёта'!$B$21,Расходка[[#This Row],[Наименование расходного материала]])),MAX($M$1:M2)+1,0)</f>
        <v>2</v>
      </c>
      <c r="N3" s="115">
        <f>IF(ISNUMBER(SEARCH('Карта учёта'!$B$22,Расходка[[#This Row],[Наименование расходного материала]])),MAX($N$1:N2)+1,0)</f>
        <v>2</v>
      </c>
      <c r="O3" s="115">
        <f>IF(ISNUMBER(SEARCH('Карта учёта'!$B$23,Расходка[[#This Row],[Наименование расходного материала]])),MAX($O$1:O2)+1,0)</f>
        <v>2</v>
      </c>
      <c r="P3" s="115">
        <f>IF(ISNUMBER(SEARCH('Карта учёта'!$B$24,Расходка[[#This Row],[Наименование расходного материала]])),MAX($P$1:P2)+1,0)</f>
        <v>2</v>
      </c>
      <c r="Q3" s="115">
        <f>IF(ISNUMBER(SEARCH('Карта учёта'!$B$25,Расходка[[#This Row],[Наименование расходного материала]])),MAX($Q$1:Q2)+1,0)</f>
        <v>2</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
      </c>
      <c r="U3" s="114" t="str">
        <f>IFERROR(INDEX(Расходка[Наименование расходного материала],MATCH(Расходка[[#This Row],[№]],Поиск_расходки[Индекс4],0)),"")</f>
        <v/>
      </c>
      <c r="V3" s="114" t="str">
        <f>IFERROR(INDEX(Расходка[Наименование расходного материала],MATCH(Расходка[[#This Row],[№]],Поиск_расходки[Индекс5],0)),"")</f>
        <v/>
      </c>
      <c r="W3" s="114" t="str">
        <f>IFERROR(INDEX(Расходка[Наименование расходного материала],MATCH(Расходка[[#This Row],[№]],Поиск_расходки[Индекс6],0)),"")</f>
        <v/>
      </c>
      <c r="X3" s="114" t="str">
        <f>IFERROR(INDEX(Расходка[Наименование расходного материала],MATCH(Расходка[[#This Row],[№]],Поиск_расходки[Индекс7],0)),"")</f>
        <v xml:space="preserve">NC Колибри </v>
      </c>
      <c r="Y3" s="114" t="str">
        <f>IFERROR(INDEX(Расходка[Наименование расходного материала],MATCH(Расходка[[#This Row],[№]],Поиск_расходки[Индекс8],0)),"")</f>
        <v/>
      </c>
      <c r="Z3" s="114" t="str">
        <f>IFERROR(INDEX(Расходка[Наименование расходного материала],MATCH(Расходка[[#This Row],[№]],Поиск_расходки[Индекс9],0)),"")</f>
        <v xml:space="preserve">Medtronic Export Advance </v>
      </c>
      <c r="AA3" s="114" t="str">
        <f>IFERROR(INDEX(Расходка[Наименование расходного материала],MATCH(Расходка[[#This Row],[№]],Поиск_расходки[Индекс10],0)),"")</f>
        <v xml:space="preserve">Medtronic Export Advance </v>
      </c>
      <c r="AB3" s="114" t="str">
        <f>IFERROR(INDEX(Расходка[Наименование расходного материала],MATCH(Расходка[[#This Row],[№]],Поиск_расходки[Индекс11],0)),"")</f>
        <v xml:space="preserve">Medtronic Export Advance </v>
      </c>
      <c r="AC3" s="114" t="str">
        <f>IFERROR(INDEX(Расходка[Наименование расходного материала],MATCH(Расходка[[#This Row],[№]],Поиск_расходки[Индекс12],0)),"")</f>
        <v xml:space="preserve">Medtronic Export Advance </v>
      </c>
      <c r="AD3" s="114"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87">
        <v>218190</v>
      </c>
      <c r="AN3" s="2" t="s">
        <v>487</v>
      </c>
      <c r="AO3" t="s">
        <v>495</v>
      </c>
      <c r="AP3" s="128"/>
    </row>
    <row r="4" spans="1:42">
      <c r="A4">
        <f>ROW(Расходка[[#This Row],[Тип расходного материала ]])-1</f>
        <v>3</v>
      </c>
      <c r="B4" t="s">
        <v>5</v>
      </c>
      <c r="C4" t="s">
        <v>530</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0</v>
      </c>
      <c r="H4" s="115">
        <f>IF(ISNUMBER(SEARCH('Карта учёта'!$B$16,Расходка[[#This Row],[Наименование расходного материала]])),MAX($H$1:H3)+1,0)</f>
        <v>0</v>
      </c>
      <c r="I4" s="115">
        <f>IF(ISNUMBER(SEARCH('Карта учёта'!$B$17,Расходка[[#This Row],[Наименование расходного материала]])),MAX($I$1:I3)+1,0)</f>
        <v>1</v>
      </c>
      <c r="J4" s="115">
        <f>IF(ISNUMBER(SEARCH('Карта учёта'!$B$18,Расходка[[#This Row],[Наименование расходного материала]])),MAX($J$1:J3)+1,0)</f>
        <v>0</v>
      </c>
      <c r="K4" s="115">
        <f>IF(ISNUMBER(SEARCH('Карта учёта'!$B$19,Расходка[[#This Row],[Наименование расходного материала]])),MAX($K$1:K3)+1,0)</f>
        <v>0</v>
      </c>
      <c r="L4" s="115">
        <f>IF(ISNUMBER(SEARCH('Карта учёта'!$B$20,Расходка[[#This Row],[Наименование расходного материала]])),MAX($L$1:L3)+1,0)</f>
        <v>0</v>
      </c>
      <c r="M4" s="115">
        <f>IF(ISNUMBER(SEARCH('Карта учёта'!$B$21,Расходка[[#This Row],[Наименование расходного материала]])),MAX($M$1:M3)+1,0)</f>
        <v>3</v>
      </c>
      <c r="N4" s="115">
        <f>IF(ISNUMBER(SEARCH('Карта учёта'!$B$22,Расходка[[#This Row],[Наименование расходного материала]])),MAX($N$1:N3)+1,0)</f>
        <v>3</v>
      </c>
      <c r="O4" s="115">
        <f>IF(ISNUMBER(SEARCH('Карта учёта'!$B$23,Расходка[[#This Row],[Наименование расходного материала]])),MAX($O$1:O3)+1,0)</f>
        <v>3</v>
      </c>
      <c r="P4" s="115">
        <f>IF(ISNUMBER(SEARCH('Карта учёта'!$B$24,Расходка[[#This Row],[Наименование расходного материала]])),MAX($P$1:P3)+1,0)</f>
        <v>3</v>
      </c>
      <c r="Q4" s="115">
        <f>IF(ISNUMBER(SEARCH('Карта учёта'!$B$25,Расходка[[#This Row],[Наименование расходного материала]])),MAX($Q$1:Q3)+1,0)</f>
        <v>3</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
      </c>
      <c r="U4" s="114" t="str">
        <f>IFERROR(INDEX(Расходка[Наименование расходного материала],MATCH(Расходка[[#This Row],[№]],Поиск_расходки[Индекс4],0)),"")</f>
        <v/>
      </c>
      <c r="V4" s="114" t="str">
        <f>IFERROR(INDEX(Расходка[Наименование расходного материала],MATCH(Расходка[[#This Row],[№]],Поиск_расходки[Индекс5],0)),"")</f>
        <v/>
      </c>
      <c r="W4" s="114" t="str">
        <f>IFERROR(INDEX(Расходка[Наименование расходного материала],MATCH(Расходка[[#This Row],[№]],Поиск_расходки[Индекс6],0)),"")</f>
        <v/>
      </c>
      <c r="X4" s="114" t="str">
        <f>IFERROR(INDEX(Расходка[Наименование расходного материала],MATCH(Расходка[[#This Row],[№]],Поиск_расходки[Индекс7],0)),"")</f>
        <v/>
      </c>
      <c r="Y4" s="114" t="str">
        <f>IFERROR(INDEX(Расходка[Наименование расходного материала],MATCH(Расходка[[#This Row],[№]],Поиск_расходки[Индекс8],0)),"")</f>
        <v/>
      </c>
      <c r="Z4" s="114" t="str">
        <f>IFERROR(INDEX(Расходка[Наименование расходного материала],MATCH(Расходка[[#This Row],[№]],Поиск_расходки[Индекс9],0)),"")</f>
        <v>Artimes</v>
      </c>
      <c r="AA4" s="114" t="str">
        <f>IFERROR(INDEX(Расходка[Наименование расходного материала],MATCH(Расходка[[#This Row],[№]],Поиск_расходки[Индекс10],0)),"")</f>
        <v>Artimes</v>
      </c>
      <c r="AB4" s="114" t="str">
        <f>IFERROR(INDEX(Расходка[Наименование расходного материала],MATCH(Расходка[[#This Row],[№]],Поиск_расходки[Индекс11],0)),"")</f>
        <v>Artimes</v>
      </c>
      <c r="AC4" s="114" t="str">
        <f>IFERROR(INDEX(Расходка[Наименование расходного материала],MATCH(Расходка[[#This Row],[№]],Поиск_расходки[Индекс12],0)),"")</f>
        <v>Artimes</v>
      </c>
      <c r="AD4" s="114" t="str">
        <f>IFERROR(INDEX(Расходка[Наименование расходного материала],MATCH(Расходка[[#This Row],[№]],Поиск_расходки[Индекс13],0)),"")</f>
        <v>Artimes</v>
      </c>
      <c r="AF4" s="4" t="s">
        <v>5</v>
      </c>
      <c r="AG4" s="4" t="s">
        <v>402</v>
      </c>
      <c r="AI4" t="s">
        <v>190</v>
      </c>
      <c r="AJ4" t="s">
        <v>201</v>
      </c>
      <c r="AK4" t="str">
        <f t="shared" si="0"/>
        <v>Контраст: Оптирей 350</v>
      </c>
      <c r="AM4" s="187">
        <v>337440</v>
      </c>
      <c r="AN4" s="2" t="s">
        <v>500</v>
      </c>
      <c r="AO4" t="s">
        <v>497</v>
      </c>
      <c r="AP4" s="128"/>
    </row>
    <row r="5" spans="1:42">
      <c r="A5">
        <f>ROW(Расходка[[#This Row],[Тип расходного материала ]])-1</f>
        <v>4</v>
      </c>
      <c r="B5" t="s">
        <v>5</v>
      </c>
      <c r="C5" s="1" t="s">
        <v>277</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0</v>
      </c>
      <c r="H5" s="115">
        <f>IF(ISNUMBER(SEARCH('Карта учёта'!$B$16,Расходка[[#This Row],[Наименование расходного материала]])),MAX($H$1:H4)+1,0)</f>
        <v>0</v>
      </c>
      <c r="I5" s="115">
        <f>IF(ISNUMBER(SEARCH('Карта учёта'!$B$17,Расходка[[#This Row],[Наименование расходного материала]])),MAX($I$1:I4)+1,0)</f>
        <v>0</v>
      </c>
      <c r="J5" s="115">
        <f>IF(ISNUMBER(SEARCH('Карта учёта'!$B$18,Расходка[[#This Row],[Наименование расходного материала]])),MAX($J$1:J4)+1,0)</f>
        <v>0</v>
      </c>
      <c r="K5" s="115">
        <f>IF(ISNUMBER(SEARCH('Карта учёта'!$B$19,Расходка[[#This Row],[Наименование расходного материала]])),MAX($K$1:K4)+1,0)</f>
        <v>0</v>
      </c>
      <c r="L5" s="115">
        <f>IF(ISNUMBER(SEARCH('Карта учёта'!$B$20,Расходка[[#This Row],[Наименование расходного материала]])),MAX($L$1:L4)+1,0)</f>
        <v>0</v>
      </c>
      <c r="M5" s="115">
        <f>IF(ISNUMBER(SEARCH('Карта учёта'!$B$21,Расходка[[#This Row],[Наименование расходного материала]])),MAX($M$1:M4)+1,0)</f>
        <v>4</v>
      </c>
      <c r="N5" s="115">
        <f>IF(ISNUMBER(SEARCH('Карта учёта'!$B$22,Расходка[[#This Row],[Наименование расходного материала]])),MAX($N$1:N4)+1,0)</f>
        <v>4</v>
      </c>
      <c r="O5" s="115">
        <f>IF(ISNUMBER(SEARCH('Карта учёта'!$B$23,Расходка[[#This Row],[Наименование расходного материала]])),MAX($O$1:O4)+1,0)</f>
        <v>4</v>
      </c>
      <c r="P5" s="115">
        <f>IF(ISNUMBER(SEARCH('Карта учёта'!$B$24,Расходка[[#This Row],[Наименование расходного материала]])),MAX($P$1:P4)+1,0)</f>
        <v>4</v>
      </c>
      <c r="Q5" s="115">
        <f>IF(ISNUMBER(SEARCH('Карта учёта'!$B$25,Расходка[[#This Row],[Наименование расходного материала]])),MAX($Q$1:Q4)+1,0)</f>
        <v>4</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
      </c>
      <c r="U5" s="114" t="str">
        <f>IFERROR(INDEX(Расходка[Наименование расходного материала],MATCH(Расходка[[#This Row],[№]],Поиск_расходки[Индекс4],0)),"")</f>
        <v/>
      </c>
      <c r="V5" s="114" t="str">
        <f>IFERROR(INDEX(Расходка[Наименование расходного материала],MATCH(Расходка[[#This Row],[№]],Поиск_расходки[Индекс5],0)),"")</f>
        <v/>
      </c>
      <c r="W5" s="114" t="str">
        <f>IFERROR(INDEX(Расходка[Наименование расходного материала],MATCH(Расходка[[#This Row],[№]],Поиск_расходки[Индекс6],0)),"")</f>
        <v/>
      </c>
      <c r="X5" s="114" t="str">
        <f>IFERROR(INDEX(Расходка[Наименование расходного материала],MATCH(Расходка[[#This Row],[№]],Поиск_расходки[Индекс7],0)),"")</f>
        <v/>
      </c>
      <c r="Y5" s="114" t="str">
        <f>IFERROR(INDEX(Расходка[Наименование расходного материала],MATCH(Расходка[[#This Row],[№]],Поиск_расходки[Индекс8],0)),"")</f>
        <v/>
      </c>
      <c r="Z5" s="114" t="str">
        <f>IFERROR(INDEX(Расходка[Наименование расходного материала],MATCH(Расходка[[#This Row],[№]],Поиск_расходки[Индекс9],0)),"")</f>
        <v>Euphora</v>
      </c>
      <c r="AA5" s="114" t="str">
        <f>IFERROR(INDEX(Расходка[Наименование расходного материала],MATCH(Расходка[[#This Row],[№]],Поиск_расходки[Индекс10],0)),"")</f>
        <v>Euphora</v>
      </c>
      <c r="AB5" s="114" t="str">
        <f>IFERROR(INDEX(Расходка[Наименование расходного материала],MATCH(Расходка[[#This Row],[№]],Поиск_расходки[Индекс11],0)),"")</f>
        <v>Euphora</v>
      </c>
      <c r="AC5" s="114" t="str">
        <f>IFERROR(INDEX(Расходка[Наименование расходного материала],MATCH(Расходка[[#This Row],[№]],Поиск_расходки[Индекс12],0)),"")</f>
        <v>Euphora</v>
      </c>
      <c r="AD5" s="114" t="str">
        <f>IFERROR(INDEX(Расходка[Наименование расходного материала],MATCH(Расходка[[#This Row],[№]],Поиск_расходки[Индекс13],0)),"")</f>
        <v>Euphora</v>
      </c>
      <c r="AF5" s="4" t="s">
        <v>5</v>
      </c>
      <c r="AG5" s="4" t="s">
        <v>403</v>
      </c>
      <c r="AI5" t="s">
        <v>190</v>
      </c>
      <c r="AJ5" t="s">
        <v>202</v>
      </c>
      <c r="AK5" t="str">
        <f t="shared" si="0"/>
        <v>Контраст: Юнигексол 350</v>
      </c>
      <c r="AM5" s="205">
        <v>136170</v>
      </c>
      <c r="AN5" s="206"/>
      <c r="AO5" s="207" t="s">
        <v>496</v>
      </c>
    </row>
    <row r="6" spans="1:42">
      <c r="A6">
        <f>ROW(Расходка[[#This Row],[Тип расходного материала ]])-1</f>
        <v>5</v>
      </c>
      <c r="B6" t="s">
        <v>5</v>
      </c>
      <c r="C6" s="1" t="s">
        <v>531</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0</v>
      </c>
      <c r="H6" s="115">
        <f>IF(ISNUMBER(SEARCH('Карта учёта'!$B$16,Расходка[[#This Row],[Наименование расходного материала]])),MAX($H$1:H5)+1,0)</f>
        <v>0</v>
      </c>
      <c r="I6" s="115">
        <f>IF(ISNUMBER(SEARCH('Карта учёта'!$B$17,Расходка[[#This Row],[Наименование расходного материала]])),MAX($I$1:I5)+1,0)</f>
        <v>0</v>
      </c>
      <c r="J6" s="115">
        <f>IF(ISNUMBER(SEARCH('Карта учёта'!$B$18,Расходка[[#This Row],[Наименование расходного материала]])),MAX($J$1:J5)+1,0)</f>
        <v>0</v>
      </c>
      <c r="K6" s="115">
        <f>IF(ISNUMBER(SEARCH('Карта учёта'!$B$19,Расходка[[#This Row],[Наименование расходного материала]])),MAX($K$1:K5)+1,0)</f>
        <v>0</v>
      </c>
      <c r="L6" s="115">
        <f>IF(ISNUMBER(SEARCH('Карта учёта'!$B$20,Расходка[[#This Row],[Наименование расходного материала]])),MAX($L$1:L5)+1,0)</f>
        <v>0</v>
      </c>
      <c r="M6" s="115">
        <f>IF(ISNUMBER(SEARCH('Карта учёта'!$B$21,Расходка[[#This Row],[Наименование расходного материала]])),MAX($M$1:M5)+1,0)</f>
        <v>5</v>
      </c>
      <c r="N6" s="115">
        <f>IF(ISNUMBER(SEARCH('Карта учёта'!$B$22,Расходка[[#This Row],[Наименование расходного материала]])),MAX($N$1:N5)+1,0)</f>
        <v>5</v>
      </c>
      <c r="O6" s="115">
        <f>IF(ISNUMBER(SEARCH('Карта учёта'!$B$23,Расходка[[#This Row],[Наименование расходного материала]])),MAX($O$1:O5)+1,0)</f>
        <v>5</v>
      </c>
      <c r="P6" s="115">
        <f>IF(ISNUMBER(SEARCH('Карта учёта'!$B$24,Расходка[[#This Row],[Наименование расходного материала]])),MAX($P$1:P5)+1,0)</f>
        <v>5</v>
      </c>
      <c r="Q6" s="115">
        <f>IF(ISNUMBER(SEARCH('Карта учёта'!$B$25,Расходка[[#This Row],[Наименование расходного материала]])),MAX($Q$1:Q5)+1,0)</f>
        <v>5</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
      </c>
      <c r="U6" s="114" t="str">
        <f>IFERROR(INDEX(Расходка[Наименование расходного материала],MATCH(Расходка[[#This Row],[№]],Поиск_расходки[Индекс4],0)),"")</f>
        <v/>
      </c>
      <c r="V6" s="114" t="str">
        <f>IFERROR(INDEX(Расходка[Наименование расходного материала],MATCH(Расходка[[#This Row],[№]],Поиск_расходки[Индекс5],0)),"")</f>
        <v/>
      </c>
      <c r="W6" s="114" t="str">
        <f>IFERROR(INDEX(Расходка[Наименование расходного материала],MATCH(Расходка[[#This Row],[№]],Поиск_расходки[Индекс6],0)),"")</f>
        <v/>
      </c>
      <c r="X6" s="114" t="str">
        <f>IFERROR(INDEX(Расходка[Наименование расходного материала],MATCH(Расходка[[#This Row],[№]],Поиск_расходки[Индекс7],0)),"")</f>
        <v/>
      </c>
      <c r="Y6" s="114" t="str">
        <f>IFERROR(INDEX(Расходка[Наименование расходного материала],MATCH(Расходка[[#This Row],[№]],Поиск_расходки[Индекс8],0)),"")</f>
        <v/>
      </c>
      <c r="Z6" s="114" t="str">
        <f>IFERROR(INDEX(Расходка[Наименование расходного материала],MATCH(Расходка[[#This Row],[№]],Поиск_расходки[Индекс9],0)),"")</f>
        <v>NC Apollo</v>
      </c>
      <c r="AA6" s="114" t="str">
        <f>IFERROR(INDEX(Расходка[Наименование расходного материала],MATCH(Расходка[[#This Row],[№]],Поиск_расходки[Индекс10],0)),"")</f>
        <v>NC Apollo</v>
      </c>
      <c r="AB6" s="114" t="str">
        <f>IFERROR(INDEX(Расходка[Наименование расходного материала],MATCH(Расходка[[#This Row],[№]],Поиск_расходки[Индекс11],0)),"")</f>
        <v>NC Apollo</v>
      </c>
      <c r="AC6" s="114" t="str">
        <f>IFERROR(INDEX(Расходка[Наименование расходного материала],MATCH(Расходка[[#This Row],[№]],Поиск_расходки[Индекс12],0)),"")</f>
        <v>NC Apollo</v>
      </c>
      <c r="AD6" s="114" t="str">
        <f>IFERROR(INDEX(Расходка[Наименование расходного материала],MATCH(Расходка[[#This Row],[№]],Поиск_расходки[Индекс13],0)),"")</f>
        <v>NC Apollo</v>
      </c>
      <c r="AF6" s="4" t="s">
        <v>5</v>
      </c>
      <c r="AG6" s="4" t="s">
        <v>404</v>
      </c>
      <c r="AI6" t="s">
        <v>190</v>
      </c>
      <c r="AJ6" t="s">
        <v>203</v>
      </c>
      <c r="AK6" t="str">
        <f t="shared" si="0"/>
        <v>Контраст: Сканлюкс 370</v>
      </c>
      <c r="AM6" s="187">
        <v>135820</v>
      </c>
      <c r="AN6" s="2"/>
      <c r="AO6" t="s">
        <v>499</v>
      </c>
    </row>
    <row r="7" spans="1:42">
      <c r="A7">
        <f>ROW(Расходка[[#This Row],[Тип расходного материала ]])-1</f>
        <v>6</v>
      </c>
      <c r="B7" t="s">
        <v>5</v>
      </c>
      <c r="C7" t="s">
        <v>311</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0</v>
      </c>
      <c r="H7" s="115">
        <f>IF(ISNUMBER(SEARCH('Карта учёта'!$B$16,Расходка[[#This Row],[Наименование расходного материала]])),MAX($H$1:H6)+1,0)</f>
        <v>0</v>
      </c>
      <c r="I7" s="115">
        <f>IF(ISNUMBER(SEARCH('Карта учёта'!$B$17,Расходка[[#This Row],[Наименование расходного материала]])),MAX($I$1:I6)+1,0)</f>
        <v>0</v>
      </c>
      <c r="J7" s="115">
        <f>IF(ISNUMBER(SEARCH('Карта учёта'!$B$18,Расходка[[#This Row],[Наименование расходного материала]])),MAX($J$1:J6)+1,0)</f>
        <v>0</v>
      </c>
      <c r="K7" s="115">
        <f>IF(ISNUMBER(SEARCH('Карта учёта'!$B$19,Расходка[[#This Row],[Наименование расходного материала]])),MAX($K$1:K6)+1,0)</f>
        <v>0</v>
      </c>
      <c r="L7" s="115">
        <f>IF(ISNUMBER(SEARCH('Карта учёта'!$B$20,Расходка[[#This Row],[Наименование расходного материала]])),MAX($L$1:L6)+1,0)</f>
        <v>0</v>
      </c>
      <c r="M7" s="115">
        <f>IF(ISNUMBER(SEARCH('Карта учёта'!$B$21,Расходка[[#This Row],[Наименование расходного материала]])),MAX($M$1:M6)+1,0)</f>
        <v>6</v>
      </c>
      <c r="N7" s="115">
        <f>IF(ISNUMBER(SEARCH('Карта учёта'!$B$22,Расходка[[#This Row],[Наименование расходного материала]])),MAX($N$1:N6)+1,0)</f>
        <v>6</v>
      </c>
      <c r="O7" s="115">
        <f>IF(ISNUMBER(SEARCH('Карта учёта'!$B$23,Расходка[[#This Row],[Наименование расходного материала]])),MAX($O$1:O6)+1,0)</f>
        <v>6</v>
      </c>
      <c r="P7" s="115">
        <f>IF(ISNUMBER(SEARCH('Карта учёта'!$B$24,Расходка[[#This Row],[Наименование расходного материала]])),MAX($P$1:P6)+1,0)</f>
        <v>6</v>
      </c>
      <c r="Q7" s="115">
        <f>IF(ISNUMBER(SEARCH('Карта учёта'!$B$25,Расходка[[#This Row],[Наименование расходного материала]])),MAX($Q$1:Q6)+1,0)</f>
        <v>6</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
      </c>
      <c r="U7" s="114" t="str">
        <f>IFERROR(INDEX(Расходка[Наименование расходного материала],MATCH(Расходка[[#This Row],[№]],Поиск_расходки[Индекс4],0)),"")</f>
        <v/>
      </c>
      <c r="V7" s="114" t="str">
        <f>IFERROR(INDEX(Расходка[Наименование расходного материала],MATCH(Расходка[[#This Row],[№]],Поиск_расходки[Индекс5],0)),"")</f>
        <v/>
      </c>
      <c r="W7" s="114" t="str">
        <f>IFERROR(INDEX(Расходка[Наименование расходного материала],MATCH(Расходка[[#This Row],[№]],Поиск_расходки[Индекс6],0)),"")</f>
        <v/>
      </c>
      <c r="X7" s="114" t="str">
        <f>IFERROR(INDEX(Расходка[Наименование расходного материала],MATCH(Расходка[[#This Row],[№]],Поиск_расходки[Индекс7],0)),"")</f>
        <v/>
      </c>
      <c r="Y7" s="114" t="str">
        <f>IFERROR(INDEX(Расходка[Наименование расходного материала],MATCH(Расходка[[#This Row],[№]],Поиск_расходки[Индекс8],0)),"")</f>
        <v/>
      </c>
      <c r="Z7" s="114" t="str">
        <f>IFERROR(INDEX(Расходка[Наименование расходного материала],MATCH(Расходка[[#This Row],[№]],Поиск_расходки[Индекс9],0)),"")</f>
        <v>NC Accuforce</v>
      </c>
      <c r="AA7" s="114" t="str">
        <f>IFERROR(INDEX(Расходка[Наименование расходного материала],MATCH(Расходка[[#This Row],[№]],Поиск_расходки[Индекс10],0)),"")</f>
        <v>NC Accuforce</v>
      </c>
      <c r="AB7" s="114" t="str">
        <f>IFERROR(INDEX(Расходка[Наименование расходного материала],MATCH(Расходка[[#This Row],[№]],Поиск_расходки[Индекс11],0)),"")</f>
        <v>NC Accuforce</v>
      </c>
      <c r="AC7" s="114" t="str">
        <f>IFERROR(INDEX(Расходка[Наименование расходного материала],MATCH(Расходка[[#This Row],[№]],Поиск_расходки[Индекс12],0)),"")</f>
        <v>NC Accuforce</v>
      </c>
      <c r="AD7" s="114" t="str">
        <f>IFERROR(INDEX(Расходка[Наименование расходного материала],MATCH(Расходка[[#This Row],[№]],Поиск_расходки[Индекс13],0)),"")</f>
        <v>NC Accuforce</v>
      </c>
      <c r="AF7" s="4" t="s">
        <v>5</v>
      </c>
      <c r="AG7" s="4" t="s">
        <v>405</v>
      </c>
      <c r="AI7" t="s">
        <v>190</v>
      </c>
      <c r="AJ7" t="s">
        <v>204</v>
      </c>
      <c r="AK7" t="str">
        <f t="shared" ref="AK7:AK8" si="1">CONCATENATE(AI7,AJ7)</f>
        <v>Контраст: Йогексол 350</v>
      </c>
      <c r="AM7" s="205">
        <v>155760</v>
      </c>
      <c r="AN7" s="206"/>
      <c r="AO7" s="207" t="s">
        <v>493</v>
      </c>
    </row>
    <row r="8" spans="1:42">
      <c r="A8">
        <f>ROW(Расходка[[#This Row],[Тип расходного материала ]])-1</f>
        <v>7</v>
      </c>
      <c r="B8" t="s">
        <v>5</v>
      </c>
      <c r="C8" s="1" t="s">
        <v>306</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0</v>
      </c>
      <c r="H8" s="115">
        <f>IF(ISNUMBER(SEARCH('Карта учёта'!$B$16,Расходка[[#This Row],[Наименование расходного материала]])),MAX($H$1:H7)+1,0)</f>
        <v>0</v>
      </c>
      <c r="I8" s="115">
        <f>IF(ISNUMBER(SEARCH('Карта учёта'!$B$17,Расходка[[#This Row],[Наименование расходного материала]])),MAX($I$1:I7)+1,0)</f>
        <v>0</v>
      </c>
      <c r="J8" s="115">
        <f>IF(ISNUMBER(SEARCH('Карта учёта'!$B$18,Расходка[[#This Row],[Наименование расходного материала]])),MAX($J$1:J7)+1,0)</f>
        <v>0</v>
      </c>
      <c r="K8" s="115">
        <f>IF(ISNUMBER(SEARCH('Карта учёта'!$B$19,Расходка[[#This Row],[Наименование расходного материала]])),MAX($K$1:K7)+1,0)</f>
        <v>0</v>
      </c>
      <c r="L8" s="115">
        <f>IF(ISNUMBER(SEARCH('Карта учёта'!$B$20,Расходка[[#This Row],[Наименование расходного материала]])),MAX($L$1:L7)+1,0)</f>
        <v>0</v>
      </c>
      <c r="M8" s="115">
        <f>IF(ISNUMBER(SEARCH('Карта учёта'!$B$21,Расходка[[#This Row],[Наименование расходного материала]])),MAX($M$1:M7)+1,0)</f>
        <v>7</v>
      </c>
      <c r="N8" s="115">
        <f>IF(ISNUMBER(SEARCH('Карта учёта'!$B$22,Расходка[[#This Row],[Наименование расходного материала]])),MAX($N$1:N7)+1,0)</f>
        <v>7</v>
      </c>
      <c r="O8" s="115">
        <f>IF(ISNUMBER(SEARCH('Карта учёта'!$B$23,Расходка[[#This Row],[Наименование расходного материала]])),MAX($O$1:O7)+1,0)</f>
        <v>7</v>
      </c>
      <c r="P8" s="115">
        <f>IF(ISNUMBER(SEARCH('Карта учёта'!$B$24,Расходка[[#This Row],[Наименование расходного материала]])),MAX($P$1:P7)+1,0)</f>
        <v>7</v>
      </c>
      <c r="Q8" s="115">
        <f>IF(ISNUMBER(SEARCH('Карта учёта'!$B$25,Расходка[[#This Row],[Наименование расходного материала]])),MAX($Q$1:Q7)+1,0)</f>
        <v>7</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
      </c>
      <c r="U8" s="114" t="str">
        <f>IFERROR(INDEX(Расходка[Наименование расходного материала],MATCH(Расходка[[#This Row],[№]],Поиск_расходки[Индекс4],0)),"")</f>
        <v/>
      </c>
      <c r="V8" s="114" t="str">
        <f>IFERROR(INDEX(Расходка[Наименование расходного материала],MATCH(Расходка[[#This Row],[№]],Поиск_расходки[Индекс5],0)),"")</f>
        <v/>
      </c>
      <c r="W8" s="114" t="str">
        <f>IFERROR(INDEX(Расходка[Наименование расходного материала],MATCH(Расходка[[#This Row],[№]],Поиск_расходки[Индекс6],0)),"")</f>
        <v/>
      </c>
      <c r="X8" s="114" t="str">
        <f>IFERROR(INDEX(Расходка[Наименование расходного материала],MATCH(Расходка[[#This Row],[№]],Поиск_расходки[Индекс7],0)),"")</f>
        <v/>
      </c>
      <c r="Y8" s="114" t="str">
        <f>IFERROR(INDEX(Расходка[Наименование расходного материала],MATCH(Расходка[[#This Row],[№]],Поиск_расходки[Индекс8],0)),"")</f>
        <v/>
      </c>
      <c r="Z8" s="114" t="str">
        <f>IFERROR(INDEX(Расходка[Наименование расходного материала],MATCH(Расходка[[#This Row],[№]],Поиск_расходки[Индекс9],0)),"")</f>
        <v>NC Euphora</v>
      </c>
      <c r="AA8" s="114" t="str">
        <f>IFERROR(INDEX(Расходка[Наименование расходного материала],MATCH(Расходка[[#This Row],[№]],Поиск_расходки[Индекс10],0)),"")</f>
        <v>NC Euphora</v>
      </c>
      <c r="AB8" s="114" t="str">
        <f>IFERROR(INDEX(Расходка[Наименование расходного материала],MATCH(Расходка[[#This Row],[№]],Поиск_расходки[Индекс11],0)),"")</f>
        <v>NC Euphora</v>
      </c>
      <c r="AC8" s="114" t="str">
        <f>IFERROR(INDEX(Расходка[Наименование расходного материала],MATCH(Расходка[[#This Row],[№]],Поиск_расходки[Индекс12],0)),"")</f>
        <v>NC Euphora</v>
      </c>
      <c r="AD8" s="114" t="str">
        <f>IFERROR(INDEX(Расходка[Наименование расходного материала],MATCH(Расходка[[#This Row],[№]],Поиск_расходки[Индекс13],0)),"")</f>
        <v>NC Euphora</v>
      </c>
      <c r="AF8" s="4" t="s">
        <v>5</v>
      </c>
      <c r="AG8" s="4" t="s">
        <v>406</v>
      </c>
      <c r="AI8" t="s">
        <v>190</v>
      </c>
      <c r="AJ8" t="s">
        <v>205</v>
      </c>
      <c r="AK8" t="str">
        <f t="shared" si="1"/>
        <v>Контраст: Визипак 320</v>
      </c>
      <c r="AM8" s="187">
        <v>218140</v>
      </c>
      <c r="AN8" s="2"/>
      <c r="AO8" t="s">
        <v>89</v>
      </c>
    </row>
    <row r="9" spans="1:42">
      <c r="A9">
        <f>ROW(Расходка[[#This Row],[Тип расходного материала ]])-1</f>
        <v>8</v>
      </c>
      <c r="B9" t="s">
        <v>5</v>
      </c>
      <c r="C9" t="s">
        <v>276</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0</v>
      </c>
      <c r="H9" s="115">
        <f>IF(ISNUMBER(SEARCH('Карта учёта'!$B$16,Расходка[[#This Row],[Наименование расходного материала]])),MAX($H$1:H8)+1,0)</f>
        <v>0</v>
      </c>
      <c r="I9" s="115">
        <f>IF(ISNUMBER(SEARCH('Карта учёта'!$B$17,Расходка[[#This Row],[Наименование расходного материала]])),MAX($I$1:I8)+1,0)</f>
        <v>0</v>
      </c>
      <c r="J9" s="115">
        <f>IF(ISNUMBER(SEARCH('Карта учёта'!$B$18,Расходка[[#This Row],[Наименование расходного материала]])),MAX($J$1:J8)+1,0)</f>
        <v>0</v>
      </c>
      <c r="K9" s="115">
        <f>IF(ISNUMBER(SEARCH('Карта учёта'!$B$19,Расходка[[#This Row],[Наименование расходного материала]])),MAX($K$1:K8)+1,0)</f>
        <v>0</v>
      </c>
      <c r="L9" s="115">
        <f>IF(ISNUMBER(SEARCH('Карта учёта'!$B$20,Расходка[[#This Row],[Наименование расходного материала]])),MAX($L$1:L8)+1,0)</f>
        <v>0</v>
      </c>
      <c r="M9" s="115">
        <f>IF(ISNUMBER(SEARCH('Карта учёта'!$B$21,Расходка[[#This Row],[Наименование расходного материала]])),MAX($M$1:M8)+1,0)</f>
        <v>8</v>
      </c>
      <c r="N9" s="115">
        <f>IF(ISNUMBER(SEARCH('Карта учёта'!$B$22,Расходка[[#This Row],[Наименование расходного материала]])),MAX($N$1:N8)+1,0)</f>
        <v>8</v>
      </c>
      <c r="O9" s="115">
        <f>IF(ISNUMBER(SEARCH('Карта учёта'!$B$23,Расходка[[#This Row],[Наименование расходного материала]])),MAX($O$1:O8)+1,0)</f>
        <v>8</v>
      </c>
      <c r="P9" s="115">
        <f>IF(ISNUMBER(SEARCH('Карта учёта'!$B$24,Расходка[[#This Row],[Наименование расходного материала]])),MAX($P$1:P8)+1,0)</f>
        <v>8</v>
      </c>
      <c r="Q9" s="115">
        <f>IF(ISNUMBER(SEARCH('Карта учёта'!$B$25,Расходка[[#This Row],[Наименование расходного материала]])),MAX($Q$1:Q8)+1,0)</f>
        <v>8</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
      </c>
      <c r="U9" s="114" t="str">
        <f>IFERROR(INDEX(Расходка[Наименование расходного материала],MATCH(Расходка[[#This Row],[№]],Поиск_расходки[Индекс4],0)),"")</f>
        <v/>
      </c>
      <c r="V9" s="114" t="str">
        <f>IFERROR(INDEX(Расходка[Наименование расходного материала],MATCH(Расходка[[#This Row],[№]],Поиск_расходки[Индекс5],0)),"")</f>
        <v/>
      </c>
      <c r="W9" s="114" t="str">
        <f>IFERROR(INDEX(Расходка[Наименование расходного материала],MATCH(Расходка[[#This Row],[№]],Поиск_расходки[Индекс6],0)),"")</f>
        <v/>
      </c>
      <c r="X9" s="114" t="str">
        <f>IFERROR(INDEX(Расходка[Наименование расходного материала],MATCH(Расходка[[#This Row],[№]],Поиск_расходки[Индекс7],0)),"")</f>
        <v/>
      </c>
      <c r="Y9" s="114" t="str">
        <f>IFERROR(INDEX(Расходка[Наименование расходного материала],MATCH(Расходка[[#This Row],[№]],Поиск_расходки[Индекс8],0)),"")</f>
        <v/>
      </c>
      <c r="Z9" s="114" t="str">
        <f>IFERROR(INDEX(Расходка[Наименование расходного материала],MATCH(Расходка[[#This Row],[№]],Поиск_расходки[Индекс9],0)),"")</f>
        <v>Sapphire</v>
      </c>
      <c r="AA9" s="114" t="str">
        <f>IFERROR(INDEX(Расходка[Наименование расходного материала],MATCH(Расходка[[#This Row],[№]],Поиск_расходки[Индекс10],0)),"")</f>
        <v>Sapphire</v>
      </c>
      <c r="AB9" s="114" t="str">
        <f>IFERROR(INDEX(Расходка[Наименование расходного материала],MATCH(Расходка[[#This Row],[№]],Поиск_расходки[Индекс11],0)),"")</f>
        <v>Sapphire</v>
      </c>
      <c r="AC9" s="114" t="str">
        <f>IFERROR(INDEX(Расходка[Наименование расходного материала],MATCH(Расходка[[#This Row],[№]],Поиск_расходки[Индекс12],0)),"")</f>
        <v>Sapphire</v>
      </c>
      <c r="AD9" s="114" t="str">
        <f>IFERROR(INDEX(Расходка[Наименование расходного материала],MATCH(Расходка[[#This Row],[№]],Поиск_расходки[Индекс13],0)),"")</f>
        <v>Sapphire</v>
      </c>
      <c r="AF9" s="4" t="s">
        <v>5</v>
      </c>
      <c r="AG9" s="4" t="s">
        <v>407</v>
      </c>
      <c r="AM9" s="187">
        <v>218160</v>
      </c>
      <c r="AN9" s="2"/>
      <c r="AO9" t="s">
        <v>90</v>
      </c>
    </row>
    <row r="10" spans="1:42">
      <c r="A10">
        <f>ROW(Расходка[[#This Row],[Тип расходного материала ]])-1</f>
        <v>9</v>
      </c>
      <c r="B10" t="s">
        <v>5</v>
      </c>
      <c r="C10" t="s">
        <v>312</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0</v>
      </c>
      <c r="H10" s="115">
        <f>IF(ISNUMBER(SEARCH('Карта учёта'!$B$16,Расходка[[#This Row],[Наименование расходного материала]])),MAX($H$1:H9)+1,0)</f>
        <v>0</v>
      </c>
      <c r="I10" s="115">
        <f>IF(ISNUMBER(SEARCH('Карта учёта'!$B$17,Расходка[[#This Row],[Наименование расходного материала]])),MAX($I$1:I9)+1,0)</f>
        <v>0</v>
      </c>
      <c r="J10" s="115">
        <f>IF(ISNUMBER(SEARCH('Карта учёта'!$B$18,Расходка[[#This Row],[Наименование расходного материала]])),MAX($J$1:J9)+1,0)</f>
        <v>0</v>
      </c>
      <c r="K10" s="115">
        <f>IF(ISNUMBER(SEARCH('Карта учёта'!$B$19,Расходка[[#This Row],[Наименование расходного материала]])),MAX($K$1:K9)+1,0)</f>
        <v>0</v>
      </c>
      <c r="L10" s="115">
        <f>IF(ISNUMBER(SEARCH('Карта учёта'!$B$20,Расходка[[#This Row],[Наименование расходного материала]])),MAX($L$1:L9)+1,0)</f>
        <v>0</v>
      </c>
      <c r="M10" s="115">
        <f>IF(ISNUMBER(SEARCH('Карта учёта'!$B$21,Расходка[[#This Row],[Наименование расходного материала]])),MAX($M$1:M9)+1,0)</f>
        <v>9</v>
      </c>
      <c r="N10" s="115">
        <f>IF(ISNUMBER(SEARCH('Карта учёта'!$B$22,Расходка[[#This Row],[Наименование расходного материала]])),MAX($N$1:N9)+1,0)</f>
        <v>9</v>
      </c>
      <c r="O10" s="115">
        <f>IF(ISNUMBER(SEARCH('Карта учёта'!$B$23,Расходка[[#This Row],[Наименование расходного материала]])),MAX($O$1:O9)+1,0)</f>
        <v>9</v>
      </c>
      <c r="P10" s="115">
        <f>IF(ISNUMBER(SEARCH('Карта учёта'!$B$24,Расходка[[#This Row],[Наименование расходного материала]])),MAX($P$1:P9)+1,0)</f>
        <v>9</v>
      </c>
      <c r="Q10" s="115">
        <f>IF(ISNUMBER(SEARCH('Карта учёта'!$B$25,Расходка[[#This Row],[Наименование расходного материала]])),MAX($Q$1:Q9)+1,0)</f>
        <v>9</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
      </c>
      <c r="U10" s="114" t="str">
        <f>IFERROR(INDEX(Расходка[Наименование расходного материала],MATCH(Расходка[[#This Row],[№]],Поиск_расходки[Индекс4],0)),"")</f>
        <v/>
      </c>
      <c r="V10" s="114" t="str">
        <f>IFERROR(INDEX(Расходка[Наименование расходного материала],MATCH(Расходка[[#This Row],[№]],Поиск_расходки[Индекс5],0)),"")</f>
        <v/>
      </c>
      <c r="W10" s="114" t="str">
        <f>IFERROR(INDEX(Расходка[Наименование расходного материала],MATCH(Расходка[[#This Row],[№]],Поиск_расходки[Индекс6],0)),"")</f>
        <v/>
      </c>
      <c r="X10" s="114" t="str">
        <f>IFERROR(INDEX(Расходка[Наименование расходного материала],MATCH(Расходка[[#This Row],[№]],Поиск_расходки[Индекс7],0)),"")</f>
        <v/>
      </c>
      <c r="Y10" s="114" t="str">
        <f>IFERROR(INDEX(Расходка[Наименование расходного материала],MATCH(Расходка[[#This Row],[№]],Поиск_расходки[Индекс8],0)),"")</f>
        <v/>
      </c>
      <c r="Z10" s="114" t="str">
        <f>IFERROR(INDEX(Расходка[Наименование расходного материала],MATCH(Расходка[[#This Row],[№]],Поиск_расходки[Индекс9],0)),"")</f>
        <v>Sprinter Legend</v>
      </c>
      <c r="AA10" s="114" t="str">
        <f>IFERROR(INDEX(Расходка[Наименование расходного материала],MATCH(Расходка[[#This Row],[№]],Поиск_расходки[Индекс10],0)),"")</f>
        <v>Sprinter Legend</v>
      </c>
      <c r="AB10" s="114" t="str">
        <f>IFERROR(INDEX(Расходка[Наименование расходного материала],MATCH(Расходка[[#This Row],[№]],Поиск_расходки[Индекс11],0)),"")</f>
        <v>Sprinter Legend</v>
      </c>
      <c r="AC10" s="114" t="str">
        <f>IFERROR(INDEX(Расходка[Наименование расходного материала],MATCH(Расходка[[#This Row],[№]],Поиск_расходки[Индекс12],0)),"")</f>
        <v>Sprinter Legend</v>
      </c>
      <c r="AD10" s="114" t="str">
        <f>IFERROR(INDEX(Расходка[Наименование расходного материала],MATCH(Расходка[[#This Row],[№]],Поиск_расходки[Индекс13],0)),"")</f>
        <v>Sprinter Legend</v>
      </c>
      <c r="AF10" s="4" t="s">
        <v>5</v>
      </c>
      <c r="AG10" s="4" t="s">
        <v>408</v>
      </c>
      <c r="AI10" t="s">
        <v>354</v>
      </c>
      <c r="AM10" s="187">
        <v>194510</v>
      </c>
      <c r="AN10" s="2"/>
      <c r="AO10" t="s">
        <v>91</v>
      </c>
    </row>
    <row r="11" spans="1:42">
      <c r="A11">
        <f>ROW(Расходка[[#This Row],[Тип расходного материала ]])-1</f>
        <v>10</v>
      </c>
      <c r="B11" t="s">
        <v>5</v>
      </c>
      <c r="C11" t="s">
        <v>357</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0</v>
      </c>
      <c r="H11" s="115">
        <f>IF(ISNUMBER(SEARCH('Карта учёта'!$B$16,Расходка[[#This Row],[Наименование расходного материала]])),MAX($H$1:H10)+1,0)</f>
        <v>0</v>
      </c>
      <c r="I11" s="115">
        <f>IF(ISNUMBER(SEARCH('Карта учёта'!$B$17,Расходка[[#This Row],[Наименование расходного материала]])),MAX($I$1:I10)+1,0)</f>
        <v>0</v>
      </c>
      <c r="J11" s="115">
        <f>IF(ISNUMBER(SEARCH('Карта учёта'!$B$18,Расходка[[#This Row],[Наименование расходного материала]])),MAX($J$1:J10)+1,0)</f>
        <v>0</v>
      </c>
      <c r="K11" s="115">
        <f>IF(ISNUMBER(SEARCH('Карта учёта'!$B$19,Расходка[[#This Row],[Наименование расходного материала]])),MAX($K$1:K10)+1,0)</f>
        <v>0</v>
      </c>
      <c r="L11" s="115">
        <f>IF(ISNUMBER(SEARCH('Карта учёта'!$B$20,Расходка[[#This Row],[Наименование расходного материала]])),MAX($L$1:L10)+1,0)</f>
        <v>0</v>
      </c>
      <c r="M11" s="115">
        <f>IF(ISNUMBER(SEARCH('Карта учёта'!$B$21,Расходка[[#This Row],[Наименование расходного материала]])),MAX($M$1:M10)+1,0)</f>
        <v>10</v>
      </c>
      <c r="N11" s="115">
        <f>IF(ISNUMBER(SEARCH('Карта учёта'!$B$22,Расходка[[#This Row],[Наименование расходного материала]])),MAX($N$1:N10)+1,0)</f>
        <v>10</v>
      </c>
      <c r="O11" s="115">
        <f>IF(ISNUMBER(SEARCH('Карта учёта'!$B$23,Расходка[[#This Row],[Наименование расходного материала]])),MAX($O$1:O10)+1,0)</f>
        <v>10</v>
      </c>
      <c r="P11" s="115">
        <f>IF(ISNUMBER(SEARCH('Карта учёта'!$B$24,Расходка[[#This Row],[Наименование расходного материала]])),MAX($P$1:P10)+1,0)</f>
        <v>10</v>
      </c>
      <c r="Q11" s="115">
        <f>IF(ISNUMBER(SEARCH('Карта учёта'!$B$25,Расходка[[#This Row],[Наименование расходного материала]])),MAX($Q$1:Q10)+1,0)</f>
        <v>10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c>
      <c r="U11" s="114" t="str">
        <f>IFERROR(INDEX(Расходка[Наименование расходного материала],MATCH(Расходка[[#This Row],[№]],Поиск_расходки[Индекс4],0)),"")</f>
        <v/>
      </c>
      <c r="V11" s="114" t="str">
        <f>IFERROR(INDEX(Расходка[Наименование расходного материала],MATCH(Расходка[[#This Row],[№]],Поиск_расходки[Индекс5],0)),"")</f>
        <v/>
      </c>
      <c r="W11" s="114" t="str">
        <f>IFERROR(INDEX(Расходка[Наименование расходного материала],MATCH(Расходка[[#This Row],[№]],Поиск_расходки[Индекс6],0)),"")</f>
        <v/>
      </c>
      <c r="X11" s="114" t="str">
        <f>IFERROR(INDEX(Расходка[Наименование расходного материала],MATCH(Расходка[[#This Row],[№]],Поиск_расходки[Индекс7],0)),"")</f>
        <v/>
      </c>
      <c r="Y11" s="114" t="str">
        <f>IFERROR(INDEX(Расходка[Наименование расходного материала],MATCH(Расходка[[#This Row],[№]],Поиск_расходки[Индекс8],0)),"")</f>
        <v/>
      </c>
      <c r="Z11" s="114" t="str">
        <f>IFERROR(INDEX(Расходка[Наименование расходного материала],MATCH(Расходка[[#This Row],[№]],Поиск_расходки[Индекс9],0)),"")</f>
        <v>SubMarine Rapido, Invatec</v>
      </c>
      <c r="AA11" s="114" t="str">
        <f>IFERROR(INDEX(Расходка[Наименование расходного материала],MATCH(Расходка[[#This Row],[№]],Поиск_расходки[Индекс10],0)),"")</f>
        <v>SubMarine Rapido, Invatec</v>
      </c>
      <c r="AB11" s="114" t="str">
        <f>IFERROR(INDEX(Расходка[Наименование расходного материала],MATCH(Расходка[[#This Row],[№]],Поиск_расходки[Индекс11],0)),"")</f>
        <v>SubMarine Rapido, Invatec</v>
      </c>
      <c r="AC11" s="114" t="str">
        <f>IFERROR(INDEX(Расходка[Наименование расходного материала],MATCH(Расходка[[#This Row],[№]],Поиск_расходки[Индекс12],0)),"")</f>
        <v>SubMarine Rapido, Invatec</v>
      </c>
      <c r="AD11" s="114" t="str">
        <f>IFERROR(INDEX(Расходка[Наименование расходного материала],MATCH(Расходка[[#This Row],[№]],Поиск_расходки[Индекс13],0)),"")</f>
        <v>SubMarine Rapido, Invatec</v>
      </c>
      <c r="AF11" s="4" t="s">
        <v>5</v>
      </c>
      <c r="AG11" s="4" t="s">
        <v>409</v>
      </c>
      <c r="AI11" t="s">
        <v>4</v>
      </c>
      <c r="AM11" s="187">
        <v>323500</v>
      </c>
      <c r="AN11" s="2"/>
      <c r="AO11" t="s">
        <v>92</v>
      </c>
    </row>
    <row r="12" spans="1:42">
      <c r="A12">
        <f>ROW(Расходка[[#This Row],[Тип расходного материала ]])-1</f>
        <v>11</v>
      </c>
      <c r="B12" t="s">
        <v>5</v>
      </c>
      <c r="C12" t="s">
        <v>373</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0</v>
      </c>
      <c r="H12" s="115">
        <f>IF(ISNUMBER(SEARCH('Карта учёта'!$B$16,Расходка[[#This Row],[Наименование расходного материала]])),MAX($H$1:H11)+1,0)</f>
        <v>0</v>
      </c>
      <c r="I12" s="115">
        <f>IF(ISNUMBER(SEARCH('Карта учёта'!$B$17,Расходка[[#This Row],[Наименование расходного материала]])),MAX($I$1:I11)+1,0)</f>
        <v>0</v>
      </c>
      <c r="J12" s="115">
        <f>IF(ISNUMBER(SEARCH('Карта учёта'!$B$18,Расходка[[#This Row],[Наименование расходного материала]])),MAX($J$1:J11)+1,0)</f>
        <v>0</v>
      </c>
      <c r="K12" s="115">
        <f>IF(ISNUMBER(SEARCH('Карта учёта'!$B$19,Расходка[[#This Row],[Наименование расходного материала]])),MAX($K$1:K11)+1,0)</f>
        <v>1</v>
      </c>
      <c r="L12" s="115">
        <f>IF(ISNUMBER(SEARCH('Карта учёта'!$B$20,Расходка[[#This Row],[Наименование расходного материала]])),MAX($L$1:L11)+1,0)</f>
        <v>0</v>
      </c>
      <c r="M12" s="115">
        <f>IF(ISNUMBER(SEARCH('Карта учёта'!$B$21,Расходка[[#This Row],[Наименование расходного материала]])),MAX($M$1:M11)+1,0)</f>
        <v>11</v>
      </c>
      <c r="N12" s="115">
        <f>IF(ISNUMBER(SEARCH('Карта учёта'!$B$22,Расходка[[#This Row],[Наименование расходного материала]])),MAX($N$1:N11)+1,0)</f>
        <v>11</v>
      </c>
      <c r="O12" s="115">
        <f>IF(ISNUMBER(SEARCH('Карта учёта'!$B$23,Расходка[[#This Row],[Наименование расходного материала]])),MAX($O$1:O11)+1,0)</f>
        <v>11</v>
      </c>
      <c r="P12" s="115">
        <f>IF(ISNUMBER(SEARCH('Карта учёта'!$B$24,Расходка[[#This Row],[Наименование расходного материала]])),MAX($P$1:P11)+1,0)</f>
        <v>11</v>
      </c>
      <c r="Q12" s="115">
        <f>IF(ISNUMBER(SEARCH('Карта учёта'!$B$25,Расходка[[#This Row],[Наименование расходного материала]])),MAX($Q$1:Q11)+1,0)</f>
        <v>11</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
      </c>
      <c r="U12" s="114" t="str">
        <f>IFERROR(INDEX(Расходка[Наименование расходного материала],MATCH(Расходка[[#This Row],[№]],Поиск_расходки[Индекс4],0)),"")</f>
        <v/>
      </c>
      <c r="V12" s="114" t="str">
        <f>IFERROR(INDEX(Расходка[Наименование расходного материала],MATCH(Расходка[[#This Row],[№]],Поиск_расходки[Индекс5],0)),"")</f>
        <v/>
      </c>
      <c r="W12" s="114" t="str">
        <f>IFERROR(INDEX(Расходка[Наименование расходного материала],MATCH(Расходка[[#This Row],[№]],Поиск_расходки[Индекс6],0)),"")</f>
        <v/>
      </c>
      <c r="X12" s="114" t="str">
        <f>IFERROR(INDEX(Расходка[Наименование расходного материала],MATCH(Расходка[[#This Row],[№]],Поиск_расходки[Индекс7],0)),"")</f>
        <v/>
      </c>
      <c r="Y12" s="114" t="str">
        <f>IFERROR(INDEX(Расходка[Наименование расходного материала],MATCH(Расходка[[#This Row],[№]],Поиск_расходки[Индекс8],0)),"")</f>
        <v/>
      </c>
      <c r="Z12" s="114" t="str">
        <f>IFERROR(INDEX(Расходка[Наименование расходного материала],MATCH(Расходка[[#This Row],[№]],Поиск_расходки[Индекс9],0)),"")</f>
        <v>Колибри</v>
      </c>
      <c r="AA12" s="114" t="str">
        <f>IFERROR(INDEX(Расходка[Наименование расходного материала],MATCH(Расходка[[#This Row],[№]],Поиск_расходки[Индекс10],0)),"")</f>
        <v>Колибри</v>
      </c>
      <c r="AB12" s="114" t="str">
        <f>IFERROR(INDEX(Расходка[Наименование расходного материала],MATCH(Расходка[[#This Row],[№]],Поиск_расходки[Индекс11],0)),"")</f>
        <v>Колибри</v>
      </c>
      <c r="AC12" s="114" t="str">
        <f>IFERROR(INDEX(Расходка[Наименование расходного материала],MATCH(Расходка[[#This Row],[№]],Поиск_расходки[Индекс12],0)),"")</f>
        <v>Колибри</v>
      </c>
      <c r="AD12" s="114" t="str">
        <f>IFERROR(INDEX(Расходка[Наименование расходного материала],MATCH(Расходка[[#This Row],[№]],Поиск_расходки[Индекс13],0)),"")</f>
        <v>Колибри</v>
      </c>
      <c r="AF12" s="4" t="s">
        <v>5</v>
      </c>
      <c r="AG12" s="4" t="s">
        <v>410</v>
      </c>
      <c r="AI12" t="s">
        <v>3</v>
      </c>
      <c r="AM12" s="187">
        <v>323510</v>
      </c>
      <c r="AN12" s="2"/>
      <c r="AO12" t="s">
        <v>93</v>
      </c>
    </row>
    <row r="13" spans="1:42">
      <c r="A13">
        <f>ROW(Расходка[[#This Row],[Тип расходного материала ]])-1</f>
        <v>12</v>
      </c>
      <c r="B13" t="s">
        <v>5</v>
      </c>
      <c r="C13" t="s">
        <v>396</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0</v>
      </c>
      <c r="H13" s="115">
        <f>IF(ISNUMBER(SEARCH('Карта учёта'!$B$16,Расходка[[#This Row],[Наименование расходного материала]])),MAX($H$1:H12)+1,0)</f>
        <v>0</v>
      </c>
      <c r="I13" s="115">
        <f>IF(ISNUMBER(SEARCH('Карта учёта'!$B$17,Расходка[[#This Row],[Наименование расходного материала]])),MAX($I$1:I12)+1,0)</f>
        <v>0</v>
      </c>
      <c r="J13" s="115">
        <f>IF(ISNUMBER(SEARCH('Карта учёта'!$B$18,Расходка[[#This Row],[Наименование расходного материала]])),MAX($J$1:J12)+1,0)</f>
        <v>0</v>
      </c>
      <c r="K13" s="115">
        <f>IF(ISNUMBER(SEARCH('Карта учёта'!$B$19,Расходка[[#This Row],[Наименование расходного материала]])),MAX($K$1:K12)+1,0)</f>
        <v>2</v>
      </c>
      <c r="L13" s="115">
        <f>IF(ISNUMBER(SEARCH('Карта учёта'!$B$20,Расходка[[#This Row],[Наименование расходного материала]])),MAX($L$1:L12)+1,0)</f>
        <v>0</v>
      </c>
      <c r="M13" s="115">
        <f>IF(ISNUMBER(SEARCH('Карта учёта'!$B$21,Расходка[[#This Row],[Наименование расходного материала]])),MAX($M$1:M12)+1,0)</f>
        <v>12</v>
      </c>
      <c r="N13" s="115">
        <f>IF(ISNUMBER(SEARCH('Карта учёта'!$B$22,Расходка[[#This Row],[Наименование расходного материала]])),MAX($N$1:N12)+1,0)</f>
        <v>12</v>
      </c>
      <c r="O13" s="115">
        <f>IF(ISNUMBER(SEARCH('Карта учёта'!$B$23,Расходка[[#This Row],[Наименование расходного материала]])),MAX($O$1:O12)+1,0)</f>
        <v>12</v>
      </c>
      <c r="P13" s="115">
        <f>IF(ISNUMBER(SEARCH('Карта учёта'!$B$24,Расходка[[#This Row],[Наименование расходного материала]])),MAX($P$1:P12)+1,0)</f>
        <v>12</v>
      </c>
      <c r="Q13" s="115">
        <f>IF(ISNUMBER(SEARCH('Карта учёта'!$B$25,Расходка[[#This Row],[Наименование расходного материала]])),MAX($Q$1:Q12)+1,0)</f>
        <v>12</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
      </c>
      <c r="U13" s="114" t="str">
        <f>IFERROR(INDEX(Расходка[Наименование расходного материала],MATCH(Расходка[[#This Row],[№]],Поиск_расходки[Индекс4],0)),"")</f>
        <v/>
      </c>
      <c r="V13" s="114" t="str">
        <f>IFERROR(INDEX(Расходка[Наименование расходного материала],MATCH(Расходка[[#This Row],[№]],Поиск_расходки[Индекс5],0)),"")</f>
        <v/>
      </c>
      <c r="W13" s="114" t="str">
        <f>IFERROR(INDEX(Расходка[Наименование расходного материала],MATCH(Расходка[[#This Row],[№]],Поиск_расходки[Индекс6],0)),"")</f>
        <v/>
      </c>
      <c r="X13" s="114" t="str">
        <f>IFERROR(INDEX(Расходка[Наименование расходного материала],MATCH(Расходка[[#This Row],[№]],Поиск_расходки[Индекс7],0)),"")</f>
        <v/>
      </c>
      <c r="Y13" s="114" t="str">
        <f>IFERROR(INDEX(Расходка[Наименование расходного материала],MATCH(Расходка[[#This Row],[№]],Поиск_расходки[Индекс8],0)),"")</f>
        <v/>
      </c>
      <c r="Z13" s="114" t="str">
        <f>IFERROR(INDEX(Расходка[Наименование расходного материала],MATCH(Расходка[[#This Row],[№]],Поиск_расходки[Индекс9],0)),"")</f>
        <v xml:space="preserve">NC Колибри </v>
      </c>
      <c r="AA13" s="114" t="str">
        <f>IFERROR(INDEX(Расходка[Наименование расходного материала],MATCH(Расходка[[#This Row],[№]],Поиск_расходки[Индекс10],0)),"")</f>
        <v xml:space="preserve">NC Колибри </v>
      </c>
      <c r="AB13" s="114" t="str">
        <f>IFERROR(INDEX(Расходка[Наименование расходного материала],MATCH(Расходка[[#This Row],[№]],Поиск_расходки[Индекс11],0)),"")</f>
        <v xml:space="preserve">NC Колибри </v>
      </c>
      <c r="AC13" s="114" t="str">
        <f>IFERROR(INDEX(Расходка[Наименование расходного материала],MATCH(Расходка[[#This Row],[№]],Поиск_расходки[Индекс12],0)),"")</f>
        <v xml:space="preserve">NC Колибри </v>
      </c>
      <c r="AD13" s="114" t="str">
        <f>IFERROR(INDEX(Расходка[Наименование расходного материала],MATCH(Расходка[[#This Row],[№]],Поиск_расходки[Индекс13],0)),"")</f>
        <v xml:space="preserve">NC Колибри </v>
      </c>
      <c r="AF13" s="4" t="s">
        <v>5</v>
      </c>
      <c r="AG13" s="4" t="s">
        <v>411</v>
      </c>
      <c r="AI13" t="s">
        <v>6</v>
      </c>
      <c r="AN13" s="2"/>
    </row>
    <row r="14" spans="1:42">
      <c r="A14">
        <f>ROW(Расходка[[#This Row],[Тип расходного материала ]])-1</f>
        <v>13</v>
      </c>
      <c r="B14" t="s">
        <v>5</v>
      </c>
      <c r="C14" t="s">
        <v>512</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0</v>
      </c>
      <c r="H14" s="115">
        <f>IF(ISNUMBER(SEARCH('Карта учёта'!$B$16,Расходка[[#This Row],[Наименование расходного материала]])),MAX($H$1:H13)+1,0)</f>
        <v>0</v>
      </c>
      <c r="I14" s="115">
        <f>IF(ISNUMBER(SEARCH('Карта учёта'!$B$17,Расходка[[#This Row],[Наименование расходного материала]])),MAX($I$1:I13)+1,0)</f>
        <v>0</v>
      </c>
      <c r="J14" s="115">
        <f>IF(ISNUMBER(SEARCH('Карта учёта'!$B$18,Расходка[[#This Row],[Наименование расходного материала]])),MAX($J$1:J13)+1,0)</f>
        <v>0</v>
      </c>
      <c r="K14" s="115">
        <f>IF(ISNUMBER(SEARCH('Карта учёта'!$B$19,Расходка[[#This Row],[Наименование расходного материала]])),MAX($K$1:K13)+1,0)</f>
        <v>0</v>
      </c>
      <c r="L14" s="115">
        <f>IF(ISNUMBER(SEARCH('Карта учёта'!$B$20,Расходка[[#This Row],[Наименование расходного материала]])),MAX($L$1:L13)+1,0)</f>
        <v>0</v>
      </c>
      <c r="M14" s="115">
        <f>IF(ISNUMBER(SEARCH('Карта учёта'!$B$21,Расходка[[#This Row],[Наименование расходного материала]])),MAX($M$1:M13)+1,0)</f>
        <v>13</v>
      </c>
      <c r="N14" s="115">
        <f>IF(ISNUMBER(SEARCH('Карта учёта'!$B$22,Расходка[[#This Row],[Наименование расходного материала]])),MAX($N$1:N13)+1,0)</f>
        <v>13</v>
      </c>
      <c r="O14" s="115">
        <f>IF(ISNUMBER(SEARCH('Карта учёта'!$B$23,Расходка[[#This Row],[Наименование расходного материала]])),MAX($O$1:O13)+1,0)</f>
        <v>13</v>
      </c>
      <c r="P14" s="115">
        <f>IF(ISNUMBER(SEARCH('Карта учёта'!$B$24,Расходка[[#This Row],[Наименование расходного материала]])),MAX($P$1:P13)+1,0)</f>
        <v>13</v>
      </c>
      <c r="Q14" s="115">
        <f>IF(ISNUMBER(SEARCH('Карта учёта'!$B$25,Расходка[[#This Row],[Наименование расходного материала]])),MAX($Q$1:Q13)+1,0)</f>
        <v>13</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
      </c>
      <c r="U14" s="114" t="str">
        <f>IFERROR(INDEX(Расходка[Наименование расходного материала],MATCH(Расходка[[#This Row],[№]],Поиск_расходки[Индекс4],0)),"")</f>
        <v/>
      </c>
      <c r="V14" s="114" t="str">
        <f>IFERROR(INDEX(Расходка[Наименование расходного материала],MATCH(Расходка[[#This Row],[№]],Поиск_расходки[Индекс5],0)),"")</f>
        <v/>
      </c>
      <c r="W14" s="114" t="str">
        <f>IFERROR(INDEX(Расходка[Наименование расходного материала],MATCH(Расходка[[#This Row],[№]],Поиск_расходки[Индекс6],0)),"")</f>
        <v/>
      </c>
      <c r="X14" s="114" t="str">
        <f>IFERROR(INDEX(Расходка[Наименование расходного материала],MATCH(Расходка[[#This Row],[№]],Поиск_расходки[Индекс7],0)),"")</f>
        <v/>
      </c>
      <c r="Y14" s="114" t="str">
        <f>IFERROR(INDEX(Расходка[Наименование расходного материала],MATCH(Расходка[[#This Row],[№]],Поиск_расходки[Индекс8],0)),"")</f>
        <v/>
      </c>
      <c r="Z14" s="114" t="str">
        <f>IFERROR(INDEX(Расходка[Наименование расходного материала],MATCH(Расходка[[#This Row],[№]],Поиск_расходки[Индекс9],0)),"")</f>
        <v>NC АКСИОМА</v>
      </c>
      <c r="AA14" s="114" t="str">
        <f>IFERROR(INDEX(Расходка[Наименование расходного материала],MATCH(Расходка[[#This Row],[№]],Поиск_расходки[Индекс10],0)),"")</f>
        <v>NC АКСИОМА</v>
      </c>
      <c r="AB14" s="114" t="str">
        <f>IFERROR(INDEX(Расходка[Наименование расходного материала],MATCH(Расходка[[#This Row],[№]],Поиск_расходки[Индекс11],0)),"")</f>
        <v>NC АКСИОМА</v>
      </c>
      <c r="AC14" s="114" t="str">
        <f>IFERROR(INDEX(Расходка[Наименование расходного материала],MATCH(Расходка[[#This Row],[№]],Поиск_расходки[Индекс12],0)),"")</f>
        <v>NC АКСИОМА</v>
      </c>
      <c r="AD14" s="114" t="str">
        <f>IFERROR(INDEX(Расходка[Наименование расходного материала],MATCH(Расходка[[#This Row],[№]],Поиск_расходки[Индекс13],0)),"")</f>
        <v>NC АКСИОМА</v>
      </c>
      <c r="AF14" s="4" t="s">
        <v>5</v>
      </c>
      <c r="AG14" s="4" t="s">
        <v>490</v>
      </c>
      <c r="AI14" t="s">
        <v>5</v>
      </c>
      <c r="AM14" s="187"/>
      <c r="AN14" s="2"/>
    </row>
    <row r="15" spans="1:42">
      <c r="A15">
        <f>ROW(Расходка[[#This Row],[Тип расходного материала ]])-1</f>
        <v>14</v>
      </c>
      <c r="B15" t="s">
        <v>307</v>
      </c>
      <c r="C15" s="1" t="s">
        <v>332</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0</v>
      </c>
      <c r="H15" s="115">
        <f>IF(ISNUMBER(SEARCH('Карта учёта'!$B$16,Расходка[[#This Row],[Наименование расходного материала]])),MAX($H$1:H14)+1,0)</f>
        <v>0</v>
      </c>
      <c r="I15" s="115">
        <f>IF(ISNUMBER(SEARCH('Карта учёта'!$B$17,Расходка[[#This Row],[Наименование расходного материала]])),MAX($I$1:I14)+1,0)</f>
        <v>0</v>
      </c>
      <c r="J15" s="115">
        <f>IF(ISNUMBER(SEARCH('Карта учёта'!$B$18,Расходка[[#This Row],[Наименование расходного материала]])),MAX($J$1:J14)+1,0)</f>
        <v>0</v>
      </c>
      <c r="K15" s="115">
        <f>IF(ISNUMBER(SEARCH('Карта учёта'!$B$19,Расходка[[#This Row],[Наименование расходного материала]])),MAX($K$1:K14)+1,0)</f>
        <v>0</v>
      </c>
      <c r="L15" s="115">
        <f>IF(ISNUMBER(SEARCH('Карта учёта'!$B$20,Расходка[[#This Row],[Наименование расходного материала]])),MAX($L$1:L14)+1,0)</f>
        <v>0</v>
      </c>
      <c r="M15" s="115">
        <f>IF(ISNUMBER(SEARCH('Карта учёта'!$B$21,Расходка[[#This Row],[Наименование расходного материала]])),MAX($M$1:M14)+1,0)</f>
        <v>14</v>
      </c>
      <c r="N15" s="115">
        <f>IF(ISNUMBER(SEARCH('Карта учёта'!$B$22,Расходка[[#This Row],[Наименование расходного материала]])),MAX($N$1:N14)+1,0)</f>
        <v>14</v>
      </c>
      <c r="O15" s="115">
        <f>IF(ISNUMBER(SEARCH('Карта учёта'!$B$23,Расходка[[#This Row],[Наименование расходного материала]])),MAX($O$1:O14)+1,0)</f>
        <v>14</v>
      </c>
      <c r="P15" s="115">
        <f>IF(ISNUMBER(SEARCH('Карта учёта'!$B$24,Расходка[[#This Row],[Наименование расходного материала]])),MAX($P$1:P14)+1,0)</f>
        <v>14</v>
      </c>
      <c r="Q15" s="115">
        <f>IF(ISNUMBER(SEARCH('Карта учёта'!$B$25,Расходка[[#This Row],[Наименование расходного материала]])),MAX($Q$1:Q14)+1,0)</f>
        <v>14</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
      </c>
      <c r="U15" s="114" t="str">
        <f>IFERROR(INDEX(Расходка[Наименование расходного материала],MATCH(Расходка[[#This Row],[№]],Поиск_расходки[Индекс4],0)),"")</f>
        <v/>
      </c>
      <c r="V15" s="114" t="str">
        <f>IFERROR(INDEX(Расходка[Наименование расходного материала],MATCH(Расходка[[#This Row],[№]],Поиск_расходки[Индекс5],0)),"")</f>
        <v/>
      </c>
      <c r="W15" s="114" t="str">
        <f>IFERROR(INDEX(Расходка[Наименование расходного материала],MATCH(Расходка[[#This Row],[№]],Поиск_расходки[Индекс6],0)),"")</f>
        <v/>
      </c>
      <c r="X15" s="114" t="str">
        <f>IFERROR(INDEX(Расходка[Наименование расходного материала],MATCH(Расходка[[#This Row],[№]],Поиск_расходки[Индекс7],0)),"")</f>
        <v/>
      </c>
      <c r="Y15" s="114" t="str">
        <f>IFERROR(INDEX(Расходка[Наименование расходного материала],MATCH(Расходка[[#This Row],[№]],Поиск_расходки[Индекс8],0)),"")</f>
        <v/>
      </c>
      <c r="Z15" s="114" t="str">
        <f>IFERROR(INDEX(Расходка[Наименование расходного материала],MATCH(Расходка[[#This Row],[№]],Поиск_расходки[Индекс9],0)),"")</f>
        <v>Nitrex 260</v>
      </c>
      <c r="AA15" s="114" t="str">
        <f>IFERROR(INDEX(Расходка[Наименование расходного материала],MATCH(Расходка[[#This Row],[№]],Поиск_расходки[Индекс10],0)),"")</f>
        <v>Nitrex 260</v>
      </c>
      <c r="AB15" s="114" t="str">
        <f>IFERROR(INDEX(Расходка[Наименование расходного материала],MATCH(Расходка[[#This Row],[№]],Поиск_расходки[Индекс11],0)),"")</f>
        <v>Nitrex 260</v>
      </c>
      <c r="AC15" s="114" t="str">
        <f>IFERROR(INDEX(Расходка[Наименование расходного материала],MATCH(Расходка[[#This Row],[№]],Поиск_расходки[Индекс12],0)),"")</f>
        <v>Nitrex 260</v>
      </c>
      <c r="AD15" s="114" t="str">
        <f>IFERROR(INDEX(Расходка[Наименование расходного материала],MATCH(Расходка[[#This Row],[№]],Поиск_расходки[Индекс13],0)),"")</f>
        <v>Nitrex 260</v>
      </c>
      <c r="AF15" s="4" t="s">
        <v>5</v>
      </c>
      <c r="AG15" s="4" t="s">
        <v>412</v>
      </c>
      <c r="AI15" t="s">
        <v>94</v>
      </c>
    </row>
    <row r="16" spans="1:42">
      <c r="A16">
        <f>ROW(Расходка[[#This Row],[Тип расходного материала ]])-1</f>
        <v>15</v>
      </c>
      <c r="B16" t="s">
        <v>307</v>
      </c>
      <c r="C16" t="s">
        <v>364</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0</v>
      </c>
      <c r="H16" s="115">
        <f>IF(ISNUMBER(SEARCH('Карта учёта'!$B$16,Расходка[[#This Row],[Наименование расходного материала]])),MAX($H$1:H15)+1,0)</f>
        <v>0</v>
      </c>
      <c r="I16" s="115">
        <f>IF(ISNUMBER(SEARCH('Карта учёта'!$B$17,Расходка[[#This Row],[Наименование расходного материала]])),MAX($I$1:I15)+1,0)</f>
        <v>0</v>
      </c>
      <c r="J16" s="115">
        <f>IF(ISNUMBER(SEARCH('Карта учёта'!$B$18,Расходка[[#This Row],[Наименование расходного материала]])),MAX($J$1:J15)+1,0)</f>
        <v>0</v>
      </c>
      <c r="K16" s="115">
        <f>IF(ISNUMBER(SEARCH('Карта учёта'!$B$19,Расходка[[#This Row],[Наименование расходного материала]])),MAX($K$1:K15)+1,0)</f>
        <v>0</v>
      </c>
      <c r="L16" s="115">
        <f>IF(ISNUMBER(SEARCH('Карта учёта'!$B$20,Расходка[[#This Row],[Наименование расходного материала]])),MAX($L$1:L15)+1,0)</f>
        <v>0</v>
      </c>
      <c r="M16" s="115">
        <f>IF(ISNUMBER(SEARCH('Карта учёта'!$B$21,Расходка[[#This Row],[Наименование расходного материала]])),MAX($M$1:M15)+1,0)</f>
        <v>15</v>
      </c>
      <c r="N16" s="115">
        <f>IF(ISNUMBER(SEARCH('Карта учёта'!$B$22,Расходка[[#This Row],[Наименование расходного материала]])),MAX($N$1:N15)+1,0)</f>
        <v>15</v>
      </c>
      <c r="O16" s="115">
        <f>IF(ISNUMBER(SEARCH('Карта учёта'!$B$23,Расходка[[#This Row],[Наименование расходного материала]])),MAX($O$1:O15)+1,0)</f>
        <v>15</v>
      </c>
      <c r="P16" s="115">
        <f>IF(ISNUMBER(SEARCH('Карта учёта'!$B$24,Расходка[[#This Row],[Наименование расходного материала]])),MAX($P$1:P15)+1,0)</f>
        <v>15</v>
      </c>
      <c r="Q16" s="115">
        <f>IF(ISNUMBER(SEARCH('Карта учёта'!$B$25,Расходка[[#This Row],[Наименование расходного материала]])),MAX($Q$1:Q15)+1,0)</f>
        <v>15</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
      </c>
      <c r="U16" s="114" t="str">
        <f>IFERROR(INDEX(Расходка[Наименование расходного материала],MATCH(Расходка[[#This Row],[№]],Поиск_расходки[Индекс4],0)),"")</f>
        <v/>
      </c>
      <c r="V16" s="114" t="str">
        <f>IFERROR(INDEX(Расходка[Наименование расходного материала],MATCH(Расходка[[#This Row],[№]],Поиск_расходки[Индекс5],0)),"")</f>
        <v/>
      </c>
      <c r="W16" s="114" t="str">
        <f>IFERROR(INDEX(Расходка[Наименование расходного материала],MATCH(Расходка[[#This Row],[№]],Поиск_расходки[Индекс6],0)),"")</f>
        <v/>
      </c>
      <c r="X16" s="114" t="str">
        <f>IFERROR(INDEX(Расходка[Наименование расходного материала],MATCH(Расходка[[#This Row],[№]],Поиск_расходки[Индекс7],0)),"")</f>
        <v/>
      </c>
      <c r="Y16" s="114" t="str">
        <f>IFERROR(INDEX(Расходка[Наименование расходного материала],MATCH(Расходка[[#This Row],[№]],Поиск_расходки[Индекс8],0)),"")</f>
        <v/>
      </c>
      <c r="Z16" s="114" t="str">
        <f>IFERROR(INDEX(Расходка[Наименование расходного материала],MATCH(Расходка[[#This Row],[№]],Поиск_расходки[Индекс9],0)),"")</f>
        <v>RadiFocus</v>
      </c>
      <c r="AA16" s="114" t="str">
        <f>IFERROR(INDEX(Расходка[Наименование расходного материала],MATCH(Расходка[[#This Row],[№]],Поиск_расходки[Индекс10],0)),"")</f>
        <v>RadiFocus</v>
      </c>
      <c r="AB16" s="114" t="str">
        <f>IFERROR(INDEX(Расходка[Наименование расходного материала],MATCH(Расходка[[#This Row],[№]],Поиск_расходки[Индекс11],0)),"")</f>
        <v>RadiFocus</v>
      </c>
      <c r="AC16" s="114" t="str">
        <f>IFERROR(INDEX(Расходка[Наименование расходного материала],MATCH(Расходка[[#This Row],[№]],Поиск_расходки[Индекс12],0)),"")</f>
        <v>RadiFocus</v>
      </c>
      <c r="AD16" s="114" t="str">
        <f>IFERROR(INDEX(Расходка[Наименование расходного материала],MATCH(Расходка[[#This Row],[№]],Поиск_расходки[Индекс13],0)),"")</f>
        <v>RadiFocus</v>
      </c>
      <c r="AF16" s="4" t="s">
        <v>5</v>
      </c>
      <c r="AG16" s="4" t="s">
        <v>413</v>
      </c>
      <c r="AI16" t="s">
        <v>305</v>
      </c>
    </row>
    <row r="17" spans="1:35">
      <c r="A17">
        <f>ROW(Расходка[[#This Row],[Тип расходного материала ]])-1</f>
        <v>16</v>
      </c>
      <c r="B17" t="s">
        <v>305</v>
      </c>
      <c r="C17" t="s">
        <v>331</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0</v>
      </c>
      <c r="H17" s="115">
        <f>IF(ISNUMBER(SEARCH('Карта учёта'!$B$16,Расходка[[#This Row],[Наименование расходного материала]])),MAX($H$1:H16)+1,0)</f>
        <v>0</v>
      </c>
      <c r="I17" s="115">
        <f>IF(ISNUMBER(SEARCH('Карта учёта'!$B$17,Расходка[[#This Row],[Наименование расходного материала]])),MAX($I$1:I16)+1,0)</f>
        <v>0</v>
      </c>
      <c r="J17" s="115">
        <f>IF(ISNUMBER(SEARCH('Карта учёта'!$B$18,Расходка[[#This Row],[Наименование расходного материала]])),MAX($J$1:J16)+1,0)</f>
        <v>0</v>
      </c>
      <c r="K17" s="115">
        <f>IF(ISNUMBER(SEARCH('Карта учёта'!$B$19,Расходка[[#This Row],[Наименование расходного материала]])),MAX($K$1:K16)+1,0)</f>
        <v>0</v>
      </c>
      <c r="L17" s="115">
        <f>IF(ISNUMBER(SEARCH('Карта учёта'!$B$20,Расходка[[#This Row],[Наименование расходного материала]])),MAX($L$1:L16)+1,0)</f>
        <v>0</v>
      </c>
      <c r="M17" s="115">
        <f>IF(ISNUMBER(SEARCH('Карта учёта'!$B$21,Расходка[[#This Row],[Наименование расходного материала]])),MAX($M$1:M16)+1,0)</f>
        <v>16</v>
      </c>
      <c r="N17" s="115">
        <f>IF(ISNUMBER(SEARCH('Карта учёта'!$B$22,Расходка[[#This Row],[Наименование расходного материала]])),MAX($N$1:N16)+1,0)</f>
        <v>16</v>
      </c>
      <c r="O17" s="115">
        <f>IF(ISNUMBER(SEARCH('Карта учёта'!$B$23,Расходка[[#This Row],[Наименование расходного материала]])),MAX($O$1:O16)+1,0)</f>
        <v>16</v>
      </c>
      <c r="P17" s="115">
        <f>IF(ISNUMBER(SEARCH('Карта учёта'!$B$24,Расходка[[#This Row],[Наименование расходного материала]])),MAX($P$1:P16)+1,0)</f>
        <v>16</v>
      </c>
      <c r="Q17" s="115">
        <f>IF(ISNUMBER(SEARCH('Карта учёта'!$B$25,Расходка[[#This Row],[Наименование расходного материала]])),MAX($Q$1:Q16)+1,0)</f>
        <v>16</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
      </c>
      <c r="U17" s="114" t="str">
        <f>IFERROR(INDEX(Расходка[Наименование расходного материала],MATCH(Расходка[[#This Row],[№]],Поиск_расходки[Индекс4],0)),"")</f>
        <v/>
      </c>
      <c r="V17" s="114" t="str">
        <f>IFERROR(INDEX(Расходка[Наименование расходного материала],MATCH(Расходка[[#This Row],[№]],Поиск_расходки[Индекс5],0)),"")</f>
        <v/>
      </c>
      <c r="W17" s="114" t="str">
        <f>IFERROR(INDEX(Расходка[Наименование расходного материала],MATCH(Расходка[[#This Row],[№]],Поиск_расходки[Индекс6],0)),"")</f>
        <v/>
      </c>
      <c r="X17" s="114" t="str">
        <f>IFERROR(INDEX(Расходка[Наименование расходного материала],MATCH(Расходка[[#This Row],[№]],Поиск_расходки[Индекс7],0)),"")</f>
        <v/>
      </c>
      <c r="Y17" s="114" t="str">
        <f>IFERROR(INDEX(Расходка[Наименование расходного материала],MATCH(Расходка[[#This Row],[№]],Поиск_расходки[Индекс8],0)),"")</f>
        <v/>
      </c>
      <c r="Z17" s="114" t="str">
        <f>IFERROR(INDEX(Расходка[Наименование расходного материала],MATCH(Расходка[[#This Row],[№]],Поиск_расходки[Индекс9],0)),"")</f>
        <v>BasixCOMPAK</v>
      </c>
      <c r="AA17" s="114" t="str">
        <f>IFERROR(INDEX(Расходка[Наименование расходного материала],MATCH(Расходка[[#This Row],[№]],Поиск_расходки[Индекс10],0)),"")</f>
        <v>BasixCOMPAK</v>
      </c>
      <c r="AB17" s="114" t="str">
        <f>IFERROR(INDEX(Расходка[Наименование расходного материала],MATCH(Расходка[[#This Row],[№]],Поиск_расходки[Индекс11],0)),"")</f>
        <v>BasixCOMPAK</v>
      </c>
      <c r="AC17" s="114" t="str">
        <f>IFERROR(INDEX(Расходка[Наименование расходного материала],MATCH(Расходка[[#This Row],[№]],Поиск_расходки[Индекс12],0)),"")</f>
        <v>BasixCOMPAK</v>
      </c>
      <c r="AD17" s="114" t="str">
        <f>IFERROR(INDEX(Расходка[Наименование расходного материала],MATCH(Расходка[[#This Row],[№]],Поиск_расходки[Индекс13],0)),"")</f>
        <v>BasixCOMPAK</v>
      </c>
      <c r="AF17" s="4" t="s">
        <v>5</v>
      </c>
      <c r="AG17" s="4" t="s">
        <v>414</v>
      </c>
      <c r="AI17" t="s">
        <v>206</v>
      </c>
    </row>
    <row r="18" spans="1:35">
      <c r="A18">
        <f>ROW(Расходка[[#This Row],[Тип расходного материала ]])-1</f>
        <v>17</v>
      </c>
      <c r="B18" t="s">
        <v>305</v>
      </c>
      <c r="C18" t="s">
        <v>361</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0</v>
      </c>
      <c r="H18" s="115">
        <f>IF(ISNUMBER(SEARCH('Карта учёта'!$B$16,Расходка[[#This Row],[Наименование расходного материала]])),MAX($H$1:H17)+1,0)</f>
        <v>0</v>
      </c>
      <c r="I18" s="115">
        <f>IF(ISNUMBER(SEARCH('Карта учёта'!$B$17,Расходка[[#This Row],[Наименование расходного материала]])),MAX($I$1:I17)+1,0)</f>
        <v>0</v>
      </c>
      <c r="J18" s="115">
        <f>IF(ISNUMBER(SEARCH('Карта учёта'!$B$18,Расходка[[#This Row],[Наименование расходного материала]])),MAX($J$1:J17)+1,0)</f>
        <v>0</v>
      </c>
      <c r="K18" s="115">
        <f>IF(ISNUMBER(SEARCH('Карта учёта'!$B$19,Расходка[[#This Row],[Наименование расходного материала]])),MAX($K$1:K17)+1,0)</f>
        <v>0</v>
      </c>
      <c r="L18" s="115">
        <f>IF(ISNUMBER(SEARCH('Карта учёта'!$B$20,Расходка[[#This Row],[Наименование расходного материала]])),MAX($L$1:L17)+1,0)</f>
        <v>0</v>
      </c>
      <c r="M18" s="115">
        <f>IF(ISNUMBER(SEARCH('Карта учёта'!$B$21,Расходка[[#This Row],[Наименование расходного материала]])),MAX($M$1:M17)+1,0)</f>
        <v>17</v>
      </c>
      <c r="N18" s="115">
        <f>IF(ISNUMBER(SEARCH('Карта учёта'!$B$22,Расходка[[#This Row],[Наименование расходного материала]])),MAX($N$1:N17)+1,0)</f>
        <v>17</v>
      </c>
      <c r="O18" s="115">
        <f>IF(ISNUMBER(SEARCH('Карта учёта'!$B$23,Расходка[[#This Row],[Наименование расходного материала]])),MAX($O$1:O17)+1,0)</f>
        <v>17</v>
      </c>
      <c r="P18" s="115">
        <f>IF(ISNUMBER(SEARCH('Карта учёта'!$B$24,Расходка[[#This Row],[Наименование расходного материала]])),MAX($P$1:P17)+1,0)</f>
        <v>17</v>
      </c>
      <c r="Q18" s="115">
        <f>IF(ISNUMBER(SEARCH('Карта учёта'!$B$25,Расходка[[#This Row],[Наименование расходного материала]])),MAX($Q$1:Q17)+1,0)</f>
        <v>17</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
      </c>
      <c r="U18" s="114" t="str">
        <f>IFERROR(INDEX(Расходка[Наименование расходного материала],MATCH(Расходка[[#This Row],[№]],Поиск_расходки[Индекс4],0)),"")</f>
        <v/>
      </c>
      <c r="V18" s="114" t="str">
        <f>IFERROR(INDEX(Расходка[Наименование расходного материала],MATCH(Расходка[[#This Row],[№]],Поиск_расходки[Индекс5],0)),"")</f>
        <v/>
      </c>
      <c r="W18" s="114" t="str">
        <f>IFERROR(INDEX(Расходка[Наименование расходного материала],MATCH(Расходка[[#This Row],[№]],Поиск_расходки[Индекс6],0)),"")</f>
        <v/>
      </c>
      <c r="X18" s="114" t="str">
        <f>IFERROR(INDEX(Расходка[Наименование расходного материала],MATCH(Расходка[[#This Row],[№]],Поиск_расходки[Индекс7],0)),"")</f>
        <v/>
      </c>
      <c r="Y18" s="114" t="str">
        <f>IFERROR(INDEX(Расходка[Наименование расходного материала],MATCH(Расходка[[#This Row],[№]],Поиск_расходки[Индекс8],0)),"")</f>
        <v/>
      </c>
      <c r="Z18" s="114" t="str">
        <f>IFERROR(INDEX(Расходка[Наименование расходного материала],MATCH(Расходка[[#This Row],[№]],Поиск_расходки[Индекс9],0)),"")</f>
        <v>BasixTOUCH</v>
      </c>
      <c r="AA18" s="114" t="str">
        <f>IFERROR(INDEX(Расходка[Наименование расходного материала],MATCH(Расходка[[#This Row],[№]],Поиск_расходки[Индекс10],0)),"")</f>
        <v>BasixTOUCH</v>
      </c>
      <c r="AB18" s="114" t="str">
        <f>IFERROR(INDEX(Расходка[Наименование расходного материала],MATCH(Расходка[[#This Row],[№]],Поиск_расходки[Индекс11],0)),"")</f>
        <v>BasixTOUCH</v>
      </c>
      <c r="AC18" s="114" t="str">
        <f>IFERROR(INDEX(Расходка[Наименование расходного материала],MATCH(Расходка[[#This Row],[№]],Поиск_расходки[Индекс12],0)),"")</f>
        <v>BasixTOUCH</v>
      </c>
      <c r="AD18" s="114" t="str">
        <f>IFERROR(INDEX(Расходка[Наименование расходного материала],MATCH(Расходка[[#This Row],[№]],Поиск_расходки[Индекс13],0)),"")</f>
        <v>BasixTOUCH</v>
      </c>
      <c r="AF18" s="4" t="s">
        <v>5</v>
      </c>
      <c r="AG18" s="4" t="s">
        <v>415</v>
      </c>
      <c r="AI18" t="s">
        <v>95</v>
      </c>
    </row>
    <row r="19" spans="1:35">
      <c r="A19">
        <f>ROW(Расходка[[#This Row],[Тип расходного материала ]])-1</f>
        <v>18</v>
      </c>
      <c r="B19" t="s">
        <v>305</v>
      </c>
      <c r="C19" t="s">
        <v>353</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0</v>
      </c>
      <c r="H19" s="115">
        <f>IF(ISNUMBER(SEARCH('Карта учёта'!$B$16,Расходка[[#This Row],[Наименование расходного материала]])),MAX($H$1:H18)+1,0)</f>
        <v>0</v>
      </c>
      <c r="I19" s="115">
        <f>IF(ISNUMBER(SEARCH('Карта учёта'!$B$17,Расходка[[#This Row],[Наименование расходного материала]])),MAX($I$1:I18)+1,0)</f>
        <v>0</v>
      </c>
      <c r="J19" s="115">
        <f>IF(ISNUMBER(SEARCH('Карта учёта'!$B$18,Расходка[[#This Row],[Наименование расходного материала]])),MAX($J$1:J18)+1,0)</f>
        <v>0</v>
      </c>
      <c r="K19" s="115">
        <f>IF(ISNUMBER(SEARCH('Карта учёта'!$B$19,Расходка[[#This Row],[Наименование расходного материала]])),MAX($K$1:K18)+1,0)</f>
        <v>0</v>
      </c>
      <c r="L19" s="115">
        <f>IF(ISNUMBER(SEARCH('Карта учёта'!$B$20,Расходка[[#This Row],[Наименование расходного материала]])),MAX($L$1:L18)+1,0)</f>
        <v>0</v>
      </c>
      <c r="M19" s="115">
        <f>IF(ISNUMBER(SEARCH('Карта учёта'!$B$21,Расходка[[#This Row],[Наименование расходного материала]])),MAX($M$1:M18)+1,0)</f>
        <v>18</v>
      </c>
      <c r="N19" s="115">
        <f>IF(ISNUMBER(SEARCH('Карта учёта'!$B$22,Расходка[[#This Row],[Наименование расходного материала]])),MAX($N$1:N18)+1,0)</f>
        <v>18</v>
      </c>
      <c r="O19" s="115">
        <f>IF(ISNUMBER(SEARCH('Карта учёта'!$B$23,Расходка[[#This Row],[Наименование расходного материала]])),MAX($O$1:O18)+1,0)</f>
        <v>18</v>
      </c>
      <c r="P19" s="115">
        <f>IF(ISNUMBER(SEARCH('Карта учёта'!$B$24,Расходка[[#This Row],[Наименование расходного материала]])),MAX($P$1:P18)+1,0)</f>
        <v>18</v>
      </c>
      <c r="Q19" s="115">
        <f>IF(ISNUMBER(SEARCH('Карта учёта'!$B$25,Расходка[[#This Row],[Наименование расходного материала]])),MAX($Q$1:Q18)+1,0)</f>
        <v>18</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
      </c>
      <c r="U19" s="114" t="str">
        <f>IFERROR(INDEX(Расходка[Наименование расходного материала],MATCH(Расходка[[#This Row],[№]],Поиск_расходки[Индекс4],0)),"")</f>
        <v/>
      </c>
      <c r="V19" s="114" t="str">
        <f>IFERROR(INDEX(Расходка[Наименование расходного материала],MATCH(Расходка[[#This Row],[№]],Поиск_расходки[Индекс5],0)),"")</f>
        <v/>
      </c>
      <c r="W19" s="114" t="str">
        <f>IFERROR(INDEX(Расходка[Наименование расходного материала],MATCH(Расходка[[#This Row],[№]],Поиск_расходки[Индекс6],0)),"")</f>
        <v/>
      </c>
      <c r="X19" s="114" t="str">
        <f>IFERROR(INDEX(Расходка[Наименование расходного материала],MATCH(Расходка[[#This Row],[№]],Поиск_расходки[Индекс7],0)),"")</f>
        <v/>
      </c>
      <c r="Y19" s="114" t="str">
        <f>IFERROR(INDEX(Расходка[Наименование расходного материала],MATCH(Расходка[[#This Row],[№]],Поиск_расходки[Индекс8],0)),"")</f>
        <v/>
      </c>
      <c r="Z19" s="114" t="str">
        <f>IFERROR(INDEX(Расходка[Наименование расходного материала],MATCH(Расходка[[#This Row],[№]],Поиск_расходки[Индекс9],0)),"")</f>
        <v>Dolphin</v>
      </c>
      <c r="AA19" s="114" t="str">
        <f>IFERROR(INDEX(Расходка[Наименование расходного материала],MATCH(Расходка[[#This Row],[№]],Поиск_расходки[Индекс10],0)),"")</f>
        <v>Dolphin</v>
      </c>
      <c r="AB19" s="114" t="str">
        <f>IFERROR(INDEX(Расходка[Наименование расходного материала],MATCH(Расходка[[#This Row],[№]],Поиск_расходки[Индекс11],0)),"")</f>
        <v>Dolphin</v>
      </c>
      <c r="AC19" s="114" t="str">
        <f>IFERROR(INDEX(Расходка[Наименование расходного материала],MATCH(Расходка[[#This Row],[№]],Поиск_расходки[Индекс12],0)),"")</f>
        <v>Dolphin</v>
      </c>
      <c r="AD19" s="114" t="str">
        <f>IFERROR(INDEX(Расходка[Наименование расходного материала],MATCH(Расходка[[#This Row],[№]],Поиск_расходки[Индекс13],0)),"")</f>
        <v>Dolphin</v>
      </c>
      <c r="AF19" s="4" t="s">
        <v>5</v>
      </c>
      <c r="AG19" s="4" t="s">
        <v>416</v>
      </c>
      <c r="AI19" t="s">
        <v>301</v>
      </c>
    </row>
    <row r="20" spans="1:35">
      <c r="A20">
        <f>ROW(Расходка[[#This Row],[Тип расходного материала ]])-1</f>
        <v>19</v>
      </c>
      <c r="B20" t="s">
        <v>305</v>
      </c>
      <c r="C20" t="s">
        <v>374</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0</v>
      </c>
      <c r="H20" s="115">
        <f>IF(ISNUMBER(SEARCH('Карта учёта'!$B$16,Расходка[[#This Row],[Наименование расходного материала]])),MAX($H$1:H19)+1,0)</f>
        <v>0</v>
      </c>
      <c r="I20" s="115">
        <f>IF(ISNUMBER(SEARCH('Карта учёта'!$B$17,Расходка[[#This Row],[Наименование расходного материала]])),MAX($I$1:I19)+1,0)</f>
        <v>0</v>
      </c>
      <c r="J20" s="115">
        <f>IF(ISNUMBER(SEARCH('Карта учёта'!$B$18,Расходка[[#This Row],[Наименование расходного материала]])),MAX($J$1:J19)+1,0)</f>
        <v>0</v>
      </c>
      <c r="K20" s="115">
        <f>IF(ISNUMBER(SEARCH('Карта учёта'!$B$19,Расходка[[#This Row],[Наименование расходного материала]])),MAX($K$1:K19)+1,0)</f>
        <v>0</v>
      </c>
      <c r="L20" s="115">
        <f>IF(ISNUMBER(SEARCH('Карта учёта'!$B$20,Расходка[[#This Row],[Наименование расходного материала]])),MAX($L$1:L19)+1,0)</f>
        <v>0</v>
      </c>
      <c r="M20" s="115">
        <f>IF(ISNUMBER(SEARCH('Карта учёта'!$B$21,Расходка[[#This Row],[Наименование расходного материала]])),MAX($M$1:M19)+1,0)</f>
        <v>19</v>
      </c>
      <c r="N20" s="115">
        <f>IF(ISNUMBER(SEARCH('Карта учёта'!$B$22,Расходка[[#This Row],[Наименование расходного материала]])),MAX($N$1:N19)+1,0)</f>
        <v>19</v>
      </c>
      <c r="O20" s="115">
        <f>IF(ISNUMBER(SEARCH('Карта учёта'!$B$23,Расходка[[#This Row],[Наименование расходного материала]])),MAX($O$1:O19)+1,0)</f>
        <v>19</v>
      </c>
      <c r="P20" s="115">
        <f>IF(ISNUMBER(SEARCH('Карта учёта'!$B$24,Расходка[[#This Row],[Наименование расходного материала]])),MAX($P$1:P19)+1,0)</f>
        <v>19</v>
      </c>
      <c r="Q20" s="115">
        <f>IF(ISNUMBER(SEARCH('Карта учёта'!$B$25,Расходка[[#This Row],[Наименование расходного материала]])),MAX($Q$1:Q19)+1,0)</f>
        <v>19</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
      </c>
      <c r="U20" s="114" t="str">
        <f>IFERROR(INDEX(Расходка[Наименование расходного материала],MATCH(Расходка[[#This Row],[№]],Поиск_расходки[Индекс4],0)),"")</f>
        <v/>
      </c>
      <c r="V20" s="114" t="str">
        <f>IFERROR(INDEX(Расходка[Наименование расходного материала],MATCH(Расходка[[#This Row],[№]],Поиск_расходки[Индекс5],0)),"")</f>
        <v/>
      </c>
      <c r="W20" s="114" t="str">
        <f>IFERROR(INDEX(Расходка[Наименование расходного материала],MATCH(Расходка[[#This Row],[№]],Поиск_расходки[Индекс6],0)),"")</f>
        <v/>
      </c>
      <c r="X20" s="114" t="str">
        <f>IFERROR(INDEX(Расходка[Наименование расходного материала],MATCH(Расходка[[#This Row],[№]],Поиск_расходки[Индекс7],0)),"")</f>
        <v/>
      </c>
      <c r="Y20" s="114" t="str">
        <f>IFERROR(INDEX(Расходка[Наименование расходного материала],MATCH(Расходка[[#This Row],[№]],Поиск_расходки[Индекс8],0)),"")</f>
        <v/>
      </c>
      <c r="Z20" s="114" t="str">
        <f>IFERROR(INDEX(Расходка[Наименование расходного материала],MATCH(Расходка[[#This Row],[№]],Поиск_расходки[Индекс9],0)),"")</f>
        <v>Lepu Medical</v>
      </c>
      <c r="AA20" s="114" t="str">
        <f>IFERROR(INDEX(Расходка[Наименование расходного материала],MATCH(Расходка[[#This Row],[№]],Поиск_расходки[Индекс10],0)),"")</f>
        <v>Lepu Medical</v>
      </c>
      <c r="AB20" s="114" t="str">
        <f>IFERROR(INDEX(Расходка[Наименование расходного материала],MATCH(Расходка[[#This Row],[№]],Поиск_расходки[Индекс11],0)),"")</f>
        <v>Lepu Medical</v>
      </c>
      <c r="AC20" s="114" t="str">
        <f>IFERROR(INDEX(Расходка[Наименование расходного материала],MATCH(Расходка[[#This Row],[№]],Поиск_расходки[Индекс12],0)),"")</f>
        <v>Lepu Medical</v>
      </c>
      <c r="AD20" s="114" t="str">
        <f>IFERROR(INDEX(Расходка[Наименование расходного материала],MATCH(Расходка[[#This Row],[№]],Поиск_расходки[Индекс13],0)),"")</f>
        <v>Lepu Medical</v>
      </c>
      <c r="AF20" s="4" t="s">
        <v>5</v>
      </c>
      <c r="AG20" s="4" t="s">
        <v>417</v>
      </c>
      <c r="AI20" t="s">
        <v>307</v>
      </c>
    </row>
    <row r="21" spans="1:35">
      <c r="A21">
        <f>ROW(Расходка[[#This Row],[Тип расходного материала ]])-1</f>
        <v>20</v>
      </c>
      <c r="B21" t="s">
        <v>305</v>
      </c>
      <c r="C21" t="s">
        <v>366</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0</v>
      </c>
      <c r="H21" s="115">
        <f>IF(ISNUMBER(SEARCH('Карта учёта'!$B$16,Расходка[[#This Row],[Наименование расходного материала]])),MAX($H$1:H20)+1,0)</f>
        <v>0</v>
      </c>
      <c r="I21" s="115">
        <f>IF(ISNUMBER(SEARCH('Карта учёта'!$B$17,Расходка[[#This Row],[Наименование расходного материала]])),MAX($I$1:I20)+1,0)</f>
        <v>0</v>
      </c>
      <c r="J21" s="115">
        <f>IF(ISNUMBER(SEARCH('Карта учёта'!$B$18,Расходка[[#This Row],[Наименование расходного материала]])),MAX($J$1:J20)+1,0)</f>
        <v>0</v>
      </c>
      <c r="K21" s="115">
        <f>IF(ISNUMBER(SEARCH('Карта учёта'!$B$19,Расходка[[#This Row],[Наименование расходного материала]])),MAX($K$1:K20)+1,0)</f>
        <v>0</v>
      </c>
      <c r="L21" s="115">
        <f>IF(ISNUMBER(SEARCH('Карта учёта'!$B$20,Расходка[[#This Row],[Наименование расходного материала]])),MAX($L$1:L20)+1,0)</f>
        <v>0</v>
      </c>
      <c r="M21" s="115">
        <f>IF(ISNUMBER(SEARCH('Карта учёта'!$B$21,Расходка[[#This Row],[Наименование расходного материала]])),MAX($M$1:M20)+1,0)</f>
        <v>20</v>
      </c>
      <c r="N21" s="115">
        <f>IF(ISNUMBER(SEARCH('Карта учёта'!$B$22,Расходка[[#This Row],[Наименование расходного материала]])),MAX($N$1:N20)+1,0)</f>
        <v>20</v>
      </c>
      <c r="O21" s="115">
        <f>IF(ISNUMBER(SEARCH('Карта учёта'!$B$23,Расходка[[#This Row],[Наименование расходного материала]])),MAX($O$1:O20)+1,0)</f>
        <v>20</v>
      </c>
      <c r="P21" s="115">
        <f>IF(ISNUMBER(SEARCH('Карта учёта'!$B$24,Расходка[[#This Row],[Наименование расходного материала]])),MAX($P$1:P20)+1,0)</f>
        <v>20</v>
      </c>
      <c r="Q21" s="115">
        <f>IF(ISNUMBER(SEARCH('Карта учёта'!$B$25,Расходка[[#This Row],[Наименование расходного материала]])),MAX($Q$1:Q20)+1,0)</f>
        <v>20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
      </c>
      <c r="U21" s="114" t="str">
        <f>IFERROR(INDEX(Расходка[Наименование расходного материала],MATCH(Расходка[[#This Row],[№]],Поиск_расходки[Индекс4],0)),"")</f>
        <v/>
      </c>
      <c r="V21" s="114" t="str">
        <f>IFERROR(INDEX(Расходка[Наименование расходного материала],MATCH(Расходка[[#This Row],[№]],Поиск_расходки[Индекс5],0)),"")</f>
        <v/>
      </c>
      <c r="W21" s="114" t="str">
        <f>IFERROR(INDEX(Расходка[Наименование расходного материала],MATCH(Расходка[[#This Row],[№]],Поиск_расходки[Индекс6],0)),"")</f>
        <v/>
      </c>
      <c r="X21" s="114" t="str">
        <f>IFERROR(INDEX(Расходка[Наименование расходного материала],MATCH(Расходка[[#This Row],[№]],Поиск_расходки[Индекс7],0)),"")</f>
        <v/>
      </c>
      <c r="Y21" s="114" t="str">
        <f>IFERROR(INDEX(Расходка[Наименование расходного материала],MATCH(Расходка[[#This Row],[№]],Поиск_расходки[Индекс8],0)),"")</f>
        <v/>
      </c>
      <c r="Z21" s="114" t="str">
        <f>IFERROR(INDEX(Расходка[Наименование расходного материала],MATCH(Расходка[[#This Row],[№]],Поиск_расходки[Индекс9],0)),"")</f>
        <v>Perouse Medical FLAMINGO</v>
      </c>
      <c r="AA21" s="114" t="str">
        <f>IFERROR(INDEX(Расходка[Наименование расходного материала],MATCH(Расходка[[#This Row],[№]],Поиск_расходки[Индекс10],0)),"")</f>
        <v>Perouse Medical FLAMINGO</v>
      </c>
      <c r="AB21" s="114" t="str">
        <f>IFERROR(INDEX(Расходка[Наименование расходного материала],MATCH(Расходка[[#This Row],[№]],Поиск_расходки[Индекс11],0)),"")</f>
        <v>Perouse Medical FLAMINGO</v>
      </c>
      <c r="AC21" s="114" t="str">
        <f>IFERROR(INDEX(Расходка[Наименование расходного материала],MATCH(Расходка[[#This Row],[№]],Поиск_расходки[Индекс12],0)),"")</f>
        <v>Perouse Medical FLAMINGO</v>
      </c>
      <c r="AD21" s="114" t="str">
        <f>IFERROR(INDEX(Расходка[Наименование расходного материала],MATCH(Расходка[[#This Row],[№]],Поиск_расходки[Индекс13],0)),"")</f>
        <v>Perouse Medical FLAMINGO</v>
      </c>
      <c r="AF21" s="4" t="s">
        <v>5</v>
      </c>
      <c r="AG21" s="4" t="s">
        <v>418</v>
      </c>
    </row>
    <row r="22" spans="1:35">
      <c r="A22">
        <f>ROW(Расходка[[#This Row],[Тип расходного материала ]])-1</f>
        <v>21</v>
      </c>
      <c r="B22" t="s">
        <v>305</v>
      </c>
      <c r="C22" t="s">
        <v>503</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0</v>
      </c>
      <c r="H22" s="115">
        <f>IF(ISNUMBER(SEARCH('Карта учёта'!$B$16,Расходка[[#This Row],[Наименование расходного материала]])),MAX($H$1:H21)+1,0)</f>
        <v>0</v>
      </c>
      <c r="I22" s="115">
        <f>IF(ISNUMBER(SEARCH('Карта учёта'!$B$17,Расходка[[#This Row],[Наименование расходного материала]])),MAX($I$1:I21)+1,0)</f>
        <v>0</v>
      </c>
      <c r="J22" s="115">
        <f>IF(ISNUMBER(SEARCH('Карта учёта'!$B$18,Расходка[[#This Row],[Наименование расходного материала]])),MAX($J$1:J21)+1,0)</f>
        <v>0</v>
      </c>
      <c r="K22" s="115">
        <f>IF(ISNUMBER(SEARCH('Карта учёта'!$B$19,Расходка[[#This Row],[Наименование расходного материала]])),MAX($K$1:K21)+1,0)</f>
        <v>0</v>
      </c>
      <c r="L22" s="115">
        <f>IF(ISNUMBER(SEARCH('Карта учёта'!$B$20,Расходка[[#This Row],[Наименование расходного материала]])),MAX($L$1:L21)+1,0)</f>
        <v>0</v>
      </c>
      <c r="M22" s="115">
        <f>IF(ISNUMBER(SEARCH('Карта учёта'!$B$21,Расходка[[#This Row],[Наименование расходного материала]])),MAX($M$1:M21)+1,0)</f>
        <v>21</v>
      </c>
      <c r="N22" s="115">
        <f>IF(ISNUMBER(SEARCH('Карта учёта'!$B$22,Расходка[[#This Row],[Наименование расходного материала]])),MAX($N$1:N21)+1,0)</f>
        <v>21</v>
      </c>
      <c r="O22" s="115">
        <f>IF(ISNUMBER(SEARCH('Карта учёта'!$B$23,Расходка[[#This Row],[Наименование расходного материала]])),MAX($O$1:O21)+1,0)</f>
        <v>21</v>
      </c>
      <c r="P22" s="115">
        <f>IF(ISNUMBER(SEARCH('Карта учёта'!$B$24,Расходка[[#This Row],[Наименование расходного материала]])),MAX($P$1:P21)+1,0)</f>
        <v>21</v>
      </c>
      <c r="Q22" s="115">
        <f>IF(ISNUMBER(SEARCH('Карта учёта'!$B$25,Расходка[[#This Row],[Наименование расходного материала]])),MAX($Q$1:Q21)+1,0)</f>
        <v>21</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
      </c>
      <c r="U22" s="114" t="str">
        <f>IFERROR(INDEX(Расходка[Наименование расходного материала],MATCH(Расходка[[#This Row],[№]],Поиск_расходки[Индекс4],0)),"")</f>
        <v/>
      </c>
      <c r="V22" s="114" t="str">
        <f>IFERROR(INDEX(Расходка[Наименование расходного материала],MATCH(Расходка[[#This Row],[№]],Поиск_расходки[Индекс5],0)),"")</f>
        <v/>
      </c>
      <c r="W22" s="114" t="str">
        <f>IFERROR(INDEX(Расходка[Наименование расходного материала],MATCH(Расходка[[#This Row],[№]],Поиск_расходки[Индекс6],0)),"")</f>
        <v/>
      </c>
      <c r="X22" s="114" t="str">
        <f>IFERROR(INDEX(Расходка[Наименование расходного материала],MATCH(Расходка[[#This Row],[№]],Поиск_расходки[Индекс7],0)),"")</f>
        <v/>
      </c>
      <c r="Y22" s="114" t="str">
        <f>IFERROR(INDEX(Расходка[Наименование расходного материала],MATCH(Расходка[[#This Row],[№]],Поиск_расходки[Индекс8],0)),"")</f>
        <v/>
      </c>
      <c r="Z22" s="114" t="str">
        <f>IFERROR(INDEX(Расходка[Наименование расходного материала],MATCH(Расходка[[#This Row],[№]],Поиск_расходки[Индекс9],0)),"")</f>
        <v>Demax</v>
      </c>
      <c r="AA22" s="114" t="str">
        <f>IFERROR(INDEX(Расходка[Наименование расходного материала],MATCH(Расходка[[#This Row],[№]],Поиск_расходки[Индекс10],0)),"")</f>
        <v>Demax</v>
      </c>
      <c r="AB22" s="114" t="str">
        <f>IFERROR(INDEX(Расходка[Наименование расходного материала],MATCH(Расходка[[#This Row],[№]],Поиск_расходки[Индекс11],0)),"")</f>
        <v>Demax</v>
      </c>
      <c r="AC22" s="114" t="str">
        <f>IFERROR(INDEX(Расходка[Наименование расходного материала],MATCH(Расходка[[#This Row],[№]],Поиск_расходки[Индекс12],0)),"")</f>
        <v>Demax</v>
      </c>
      <c r="AD22" s="114" t="str">
        <f>IFERROR(INDEX(Расходка[Наименование расходного материала],MATCH(Расходка[[#This Row],[№]],Поиск_расходки[Индекс13],0)),"")</f>
        <v>Demax</v>
      </c>
      <c r="AF22" s="4" t="s">
        <v>5</v>
      </c>
      <c r="AG22" s="4" t="s">
        <v>419</v>
      </c>
    </row>
    <row r="23" spans="1:35">
      <c r="A23">
        <f>ROW(Расходка[[#This Row],[Тип расходного материала ]])-1</f>
        <v>22</v>
      </c>
      <c r="B23" t="s">
        <v>206</v>
      </c>
      <c r="C23" s="1" t="s">
        <v>337</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0</v>
      </c>
      <c r="H23" s="115">
        <f>IF(ISNUMBER(SEARCH('Карта учёта'!$B$16,Расходка[[#This Row],[Наименование расходного материала]])),MAX($H$1:H22)+1,0)</f>
        <v>0</v>
      </c>
      <c r="I23" s="115">
        <f>IF(ISNUMBER(SEARCH('Карта учёта'!$B$17,Расходка[[#This Row],[Наименование расходного материала]])),MAX($I$1:I22)+1,0)</f>
        <v>0</v>
      </c>
      <c r="J23" s="115">
        <f>IF(ISNUMBER(SEARCH('Карта учёта'!$B$18,Расходка[[#This Row],[Наименование расходного материала]])),MAX($J$1:J22)+1,0)</f>
        <v>0</v>
      </c>
      <c r="K23" s="115">
        <f>IF(ISNUMBER(SEARCH('Карта учёта'!$B$19,Расходка[[#This Row],[Наименование расходного материала]])),MAX($K$1:K22)+1,0)</f>
        <v>0</v>
      </c>
      <c r="L23" s="115">
        <f>IF(ISNUMBER(SEARCH('Карта учёта'!$B$20,Расходка[[#This Row],[Наименование расходного материала]])),MAX($L$1:L22)+1,0)</f>
        <v>0</v>
      </c>
      <c r="M23" s="115">
        <f>IF(ISNUMBER(SEARCH('Карта учёта'!$B$21,Расходка[[#This Row],[Наименование расходного материала]])),MAX($M$1:M22)+1,0)</f>
        <v>22</v>
      </c>
      <c r="N23" s="115">
        <f>IF(ISNUMBER(SEARCH('Карта учёта'!$B$22,Расходка[[#This Row],[Наименование расходного материала]])),MAX($N$1:N22)+1,0)</f>
        <v>22</v>
      </c>
      <c r="O23" s="115">
        <f>IF(ISNUMBER(SEARCH('Карта учёта'!$B$23,Расходка[[#This Row],[Наименование расходного материала]])),MAX($O$1:O22)+1,0)</f>
        <v>22</v>
      </c>
      <c r="P23" s="115">
        <f>IF(ISNUMBER(SEARCH('Карта учёта'!$B$24,Расходка[[#This Row],[Наименование расходного материала]])),MAX($P$1:P22)+1,0)</f>
        <v>22</v>
      </c>
      <c r="Q23" s="115">
        <f>IF(ISNUMBER(SEARCH('Карта учёта'!$B$25,Расходка[[#This Row],[Наименование расходного материала]])),MAX($Q$1:Q22)+1,0)</f>
        <v>22</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
      </c>
      <c r="U23" s="114" t="str">
        <f>IFERROR(INDEX(Расходка[Наименование расходного материала],MATCH(Расходка[[#This Row],[№]],Поиск_расходки[Индекс4],0)),"")</f>
        <v/>
      </c>
      <c r="V23" s="114" t="str">
        <f>IFERROR(INDEX(Расходка[Наименование расходного материала],MATCH(Расходка[[#This Row],[№]],Поиск_расходки[Индекс5],0)),"")</f>
        <v/>
      </c>
      <c r="W23" s="114" t="str">
        <f>IFERROR(INDEX(Расходка[Наименование расходного материала],MATCH(Расходка[[#This Row],[№]],Поиск_расходки[Индекс6],0)),"")</f>
        <v/>
      </c>
      <c r="X23" s="114" t="str">
        <f>IFERROR(INDEX(Расходка[Наименование расходного материала],MATCH(Расходка[[#This Row],[№]],Поиск_расходки[Индекс7],0)),"")</f>
        <v/>
      </c>
      <c r="Y23" s="114" t="str">
        <f>IFERROR(INDEX(Расходка[Наименование расходного материала],MATCH(Расходка[[#This Row],[№]],Поиск_расходки[Индекс8],0)),"")</f>
        <v/>
      </c>
      <c r="Z23" s="114" t="str">
        <f>IFERROR(INDEX(Расходка[Наименование расходного материала],MATCH(Расходка[[#This Row],[№]],Поиск_расходки[Индекс9],0)),"")</f>
        <v>Oscor 7F</v>
      </c>
      <c r="AA23" s="114" t="str">
        <f>IFERROR(INDEX(Расходка[Наименование расходного материала],MATCH(Расходка[[#This Row],[№]],Поиск_расходки[Индекс10],0)),"")</f>
        <v>Oscor 7F</v>
      </c>
      <c r="AB23" s="114" t="str">
        <f>IFERROR(INDEX(Расходка[Наименование расходного материала],MATCH(Расходка[[#This Row],[№]],Поиск_расходки[Индекс11],0)),"")</f>
        <v>Oscor 7F</v>
      </c>
      <c r="AC23" s="114" t="str">
        <f>IFERROR(INDEX(Расходка[Наименование расходного материала],MATCH(Расходка[[#This Row],[№]],Поиск_расходки[Индекс12],0)),"")</f>
        <v>Oscor 7F</v>
      </c>
      <c r="AD23" s="114" t="str">
        <f>IFERROR(INDEX(Расходка[Наименование расходного материала],MATCH(Расходка[[#This Row],[№]],Поиск_расходки[Индекс13],0)),"")</f>
        <v>Oscor 7F</v>
      </c>
      <c r="AF23" s="4" t="s">
        <v>5</v>
      </c>
      <c r="AG23" s="4" t="s">
        <v>420</v>
      </c>
    </row>
    <row r="24" spans="1:35">
      <c r="A24">
        <f>ROW(Расходка[[#This Row],[Тип расходного материала ]])-1</f>
        <v>23</v>
      </c>
      <c r="B24" t="s">
        <v>305</v>
      </c>
      <c r="C24" s="1" t="s">
        <v>505</v>
      </c>
      <c r="E24" s="115">
        <f>IF(ISNUMBER(SEARCH('Карта учёта'!$B$13,Расходка[[#This Row],[Наименование расходного материала]])),MAX($E$1:E23)+1,0)</f>
        <v>0</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0</v>
      </c>
      <c r="H24" s="115">
        <f>IF(ISNUMBER(SEARCH('Карта учёта'!$B$16,Расходка[[#This Row],[Наименование расходного материала]])),MAX($H$1:H23)+1,0)</f>
        <v>0</v>
      </c>
      <c r="I24" s="115">
        <f>IF(ISNUMBER(SEARCH('Карта учёта'!$B$17,Расходка[[#This Row],[Наименование расходного материала]])),MAX($I$1:I23)+1,0)</f>
        <v>0</v>
      </c>
      <c r="J24" s="115">
        <f>IF(ISNUMBER(SEARCH('Карта учёта'!$B$18,Расходка[[#This Row],[Наименование расходного материала]])),MAX($J$1:J23)+1,0)</f>
        <v>0</v>
      </c>
      <c r="K24" s="115">
        <f>IF(ISNUMBER(SEARCH('Карта учёта'!$B$19,Расходка[[#This Row],[Наименование расходного материала]])),MAX($K$1:K23)+1,0)</f>
        <v>0</v>
      </c>
      <c r="L24" s="115">
        <f>IF(ISNUMBER(SEARCH('Карта учёта'!$B$20,Расходка[[#This Row],[Наименование расходного материала]])),MAX($L$1:L23)+1,0)</f>
        <v>0</v>
      </c>
      <c r="M24" s="115">
        <f>IF(ISNUMBER(SEARCH('Карта учёта'!$B$21,Расходка[[#This Row],[Наименование расходного материала]])),MAX($M$1:M23)+1,0)</f>
        <v>23</v>
      </c>
      <c r="N24" s="115">
        <f>IF(ISNUMBER(SEARCH('Карта учёта'!$B$22,Расходка[[#This Row],[Наименование расходного материала]])),MAX($N$1:N23)+1,0)</f>
        <v>23</v>
      </c>
      <c r="O24" s="115">
        <f>IF(ISNUMBER(SEARCH('Карта учёта'!$B$23,Расходка[[#This Row],[Наименование расходного материала]])),MAX($O$1:O23)+1,0)</f>
        <v>23</v>
      </c>
      <c r="P24" s="115">
        <f>IF(ISNUMBER(SEARCH('Карта учёта'!$B$24,Расходка[[#This Row],[Наименование расходного материала]])),MAX($P$1:P23)+1,0)</f>
        <v>23</v>
      </c>
      <c r="Q24" s="115">
        <f>IF(ISNUMBER(SEARCH('Карта учёта'!$B$25,Расходка[[#This Row],[Наименование расходного материала]])),MAX($Q$1:Q23)+1,0)</f>
        <v>23</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
      </c>
      <c r="U24" s="114" t="str">
        <f>IFERROR(INDEX(Расходка[Наименование расходного материала],MATCH(Расходка[[#This Row],[№]],Поиск_расходки[Индекс4],0)),"")</f>
        <v/>
      </c>
      <c r="V24" s="114" t="str">
        <f>IFERROR(INDEX(Расходка[Наименование расходного материала],MATCH(Расходка[[#This Row],[№]],Поиск_расходки[Индекс5],0)),"")</f>
        <v/>
      </c>
      <c r="W24" s="114" t="str">
        <f>IFERROR(INDEX(Расходка[Наименование расходного материала],MATCH(Расходка[[#This Row],[№]],Поиск_расходки[Индекс6],0)),"")</f>
        <v/>
      </c>
      <c r="X24" s="114" t="str">
        <f>IFERROR(INDEX(Расходка[Наименование расходного материала],MATCH(Расходка[[#This Row],[№]],Поиск_расходки[Индекс7],0)),"")</f>
        <v/>
      </c>
      <c r="Y24" s="114" t="str">
        <f>IFERROR(INDEX(Расходка[Наименование расходного материала],MATCH(Расходка[[#This Row],[№]],Поиск_расходки[Индекс8],0)),"")</f>
        <v/>
      </c>
      <c r="Z24" s="114" t="str">
        <f>IFERROR(INDEX(Расходка[Наименование расходного материала],MATCH(Расходка[[#This Row],[№]],Поиск_расходки[Индекс9],0)),"")</f>
        <v>"МИМ". Тюмень</v>
      </c>
      <c r="AA24" s="114" t="str">
        <f>IFERROR(INDEX(Расходка[Наименование расходного материала],MATCH(Расходка[[#This Row],[№]],Поиск_расходки[Индекс10],0)),"")</f>
        <v>"МИМ". Тюмень</v>
      </c>
      <c r="AB24" s="114" t="str">
        <f>IFERROR(INDEX(Расходка[Наименование расходного материала],MATCH(Расходка[[#This Row],[№]],Поиск_расходки[Индекс11],0)),"")</f>
        <v>"МИМ". Тюмень</v>
      </c>
      <c r="AC24" s="114" t="str">
        <f>IFERROR(INDEX(Расходка[Наименование расходного материала],MATCH(Расходка[[#This Row],[№]],Поиск_расходки[Индекс12],0)),"")</f>
        <v>"МИМ". Тюмень</v>
      </c>
      <c r="AD24" s="114" t="str">
        <f>IFERROR(INDEX(Расходка[Наименование расходного материала],MATCH(Расходка[[#This Row],[№]],Поиск_расходки[Индекс13],0)),"")</f>
        <v>"МИМ". Тюмень</v>
      </c>
      <c r="AF24" s="4" t="s">
        <v>5</v>
      </c>
      <c r="AG24" s="4" t="s">
        <v>421</v>
      </c>
    </row>
    <row r="25" spans="1:35">
      <c r="A25">
        <f>ROW(Расходка[[#This Row],[Тип расходного материала ]])-1</f>
        <v>24</v>
      </c>
      <c r="B25" t="s">
        <v>305</v>
      </c>
      <c r="C25" s="1" t="s">
        <v>507</v>
      </c>
      <c r="E25" s="115">
        <f>IF(ISNUMBER(SEARCH('Карта учёта'!$B$13,Расходка[[#This Row],[Наименование расходного материала]])),MAX($E$1:E24)+1,0)</f>
        <v>0</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0</v>
      </c>
      <c r="H25" s="115">
        <f>IF(ISNUMBER(SEARCH('Карта учёта'!$B$16,Расходка[[#This Row],[Наименование расходного материала]])),MAX($H$1:H24)+1,0)</f>
        <v>0</v>
      </c>
      <c r="I25" s="115">
        <f>IF(ISNUMBER(SEARCH('Карта учёта'!$B$17,Расходка[[#This Row],[Наименование расходного материала]])),MAX($I$1:I24)+1,0)</f>
        <v>0</v>
      </c>
      <c r="J25" s="115">
        <f>IF(ISNUMBER(SEARCH('Карта учёта'!$B$18,Расходка[[#This Row],[Наименование расходного материала]])),MAX($J$1:J24)+1,0)</f>
        <v>0</v>
      </c>
      <c r="K25" s="115">
        <f>IF(ISNUMBER(SEARCH('Карта учёта'!$B$19,Расходка[[#This Row],[Наименование расходного материала]])),MAX($K$1:K24)+1,0)</f>
        <v>0</v>
      </c>
      <c r="L25" s="115">
        <f>IF(ISNUMBER(SEARCH('Карта учёта'!$B$20,Расходка[[#This Row],[Наименование расходного материала]])),MAX($L$1:L24)+1,0)</f>
        <v>0</v>
      </c>
      <c r="M25" s="115">
        <f>IF(ISNUMBER(SEARCH('Карта учёта'!$B$21,Расходка[[#This Row],[Наименование расходного материала]])),MAX($M$1:M24)+1,0)</f>
        <v>24</v>
      </c>
      <c r="N25" s="115">
        <f>IF(ISNUMBER(SEARCH('Карта учёта'!$B$22,Расходка[[#This Row],[Наименование расходного материала]])),MAX($N$1:N24)+1,0)</f>
        <v>24</v>
      </c>
      <c r="O25" s="115">
        <f>IF(ISNUMBER(SEARCH('Карта учёта'!$B$23,Расходка[[#This Row],[Наименование расходного материала]])),MAX($O$1:O24)+1,0)</f>
        <v>24</v>
      </c>
      <c r="P25" s="115">
        <f>IF(ISNUMBER(SEARCH('Карта учёта'!$B$24,Расходка[[#This Row],[Наименование расходного материала]])),MAX($P$1:P24)+1,0)</f>
        <v>24</v>
      </c>
      <c r="Q25" s="115">
        <f>IF(ISNUMBER(SEARCH('Карта учёта'!$B$25,Расходка[[#This Row],[Наименование расходного материала]])),MAX($Q$1:Q24)+1,0)</f>
        <v>24</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
      </c>
      <c r="U25" s="114" t="str">
        <f>IFERROR(INDEX(Расходка[Наименование расходного материала],MATCH(Расходка[[#This Row],[№]],Поиск_расходки[Индекс4],0)),"")</f>
        <v/>
      </c>
      <c r="V25" s="114" t="str">
        <f>IFERROR(INDEX(Расходка[Наименование расходного материала],MATCH(Расходка[[#This Row],[№]],Поиск_расходки[Индекс5],0)),"")</f>
        <v/>
      </c>
      <c r="W25" s="114" t="str">
        <f>IFERROR(INDEX(Расходка[Наименование расходного материала],MATCH(Расходка[[#This Row],[№]],Поиск_расходки[Индекс6],0)),"")</f>
        <v/>
      </c>
      <c r="X25" s="114" t="str">
        <f>IFERROR(INDEX(Расходка[Наименование расходного материала],MATCH(Расходка[[#This Row],[№]],Поиск_расходки[Индекс7],0)),"")</f>
        <v/>
      </c>
      <c r="Y25" s="114" t="str">
        <f>IFERROR(INDEX(Расходка[Наименование расходного материала],MATCH(Расходка[[#This Row],[№]],Поиск_расходки[Индекс8],0)),"")</f>
        <v/>
      </c>
      <c r="Z25" s="114" t="str">
        <f>IFERROR(INDEX(Расходка[Наименование расходного материала],MATCH(Расходка[[#This Row],[№]],Поиск_расходки[Индекс9],0)),"")</f>
        <v>Поток CTЗ по ТУ</v>
      </c>
      <c r="AA25" s="114" t="str">
        <f>IFERROR(INDEX(Расходка[Наименование расходного материала],MATCH(Расходка[[#This Row],[№]],Поиск_расходки[Индекс10],0)),"")</f>
        <v>Поток CTЗ по ТУ</v>
      </c>
      <c r="AB25" s="114" t="str">
        <f>IFERROR(INDEX(Расходка[Наименование расходного материала],MATCH(Расходка[[#This Row],[№]],Поиск_расходки[Индекс11],0)),"")</f>
        <v>Поток CTЗ по ТУ</v>
      </c>
      <c r="AC25" s="114" t="str">
        <f>IFERROR(INDEX(Расходка[Наименование расходного материала],MATCH(Расходка[[#This Row],[№]],Поиск_расходки[Индекс12],0)),"")</f>
        <v>Поток CTЗ по ТУ</v>
      </c>
      <c r="AD25" s="114" t="str">
        <f>IFERROR(INDEX(Расходка[Наименование расходного материала],MATCH(Расходка[[#This Row],[№]],Поиск_расходки[Индекс13],0)),"")</f>
        <v>Поток CTЗ по ТУ</v>
      </c>
      <c r="AF25" s="4" t="s">
        <v>5</v>
      </c>
      <c r="AG25" s="4" t="s">
        <v>422</v>
      </c>
    </row>
    <row r="26" spans="1:35">
      <c r="A26">
        <f>ROW(Расходка[[#This Row],[Тип расходного материала ]])-1</f>
        <v>25</v>
      </c>
      <c r="B26" t="s">
        <v>305</v>
      </c>
      <c r="C26" s="1" t="s">
        <v>305</v>
      </c>
      <c r="E26" s="115">
        <f>IF(ISNUMBER(SEARCH('Карта учёта'!$B$13,Расходка[[#This Row],[Наименование расходного материала]])),MAX($E$1:E25)+1,0)</f>
        <v>1</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0</v>
      </c>
      <c r="H26" s="115">
        <f>IF(ISNUMBER(SEARCH('Карта учёта'!$B$16,Расходка[[#This Row],[Наименование расходного материала]])),MAX($H$1:H25)+1,0)</f>
        <v>0</v>
      </c>
      <c r="I26" s="115">
        <f>IF(ISNUMBER(SEARCH('Карта учёта'!$B$17,Расходка[[#This Row],[Наименование расходного материала]])),MAX($I$1:I25)+1,0)</f>
        <v>0</v>
      </c>
      <c r="J26" s="115">
        <f>IF(ISNUMBER(SEARCH('Карта учёта'!$B$18,Расходка[[#This Row],[Наименование расходного материала]])),MAX($J$1:J25)+1,0)</f>
        <v>0</v>
      </c>
      <c r="K26" s="115">
        <f>IF(ISNUMBER(SEARCH('Карта учёта'!$B$19,Расходка[[#This Row],[Наименование расходного материала]])),MAX($K$1:K25)+1,0)</f>
        <v>0</v>
      </c>
      <c r="L26" s="115">
        <f>IF(ISNUMBER(SEARCH('Карта учёта'!$B$20,Расходка[[#This Row],[Наименование расходного материала]])),MAX($L$1:L25)+1,0)</f>
        <v>0</v>
      </c>
      <c r="M26" s="115">
        <f>IF(ISNUMBER(SEARCH('Карта учёта'!$B$21,Расходка[[#This Row],[Наименование расходного материала]])),MAX($M$1:M25)+1,0)</f>
        <v>25</v>
      </c>
      <c r="N26" s="115">
        <f>IF(ISNUMBER(SEARCH('Карта учёта'!$B$22,Расходка[[#This Row],[Наименование расходного материала]])),MAX($N$1:N25)+1,0)</f>
        <v>25</v>
      </c>
      <c r="O26" s="115">
        <f>IF(ISNUMBER(SEARCH('Карта учёта'!$B$23,Расходка[[#This Row],[Наименование расходного материала]])),MAX($O$1:O25)+1,0)</f>
        <v>25</v>
      </c>
      <c r="P26" s="115">
        <f>IF(ISNUMBER(SEARCH('Карта учёта'!$B$24,Расходка[[#This Row],[Наименование расходного материала]])),MAX($P$1:P25)+1,0)</f>
        <v>25</v>
      </c>
      <c r="Q26" s="115">
        <f>IF(ISNUMBER(SEARCH('Карта учёта'!$B$25,Расходка[[#This Row],[Наименование расходного материала]])),MAX($Q$1:Q25)+1,0)</f>
        <v>25</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
      </c>
      <c r="U26" s="114" t="str">
        <f>IFERROR(INDEX(Расходка[Наименование расходного материала],MATCH(Расходка[[#This Row],[№]],Поиск_расходки[Индекс4],0)),"")</f>
        <v/>
      </c>
      <c r="V26" s="114" t="str">
        <f>IFERROR(INDEX(Расходка[Наименование расходного материала],MATCH(Расходка[[#This Row],[№]],Поиск_расходки[Индекс5],0)),"")</f>
        <v/>
      </c>
      <c r="W26" s="114" t="str">
        <f>IFERROR(INDEX(Расходка[Наименование расходного материала],MATCH(Расходка[[#This Row],[№]],Поиск_расходки[Индекс6],0)),"")</f>
        <v/>
      </c>
      <c r="X26" s="114" t="str">
        <f>IFERROR(INDEX(Расходка[Наименование расходного материала],MATCH(Расходка[[#This Row],[№]],Поиск_расходки[Индекс7],0)),"")</f>
        <v/>
      </c>
      <c r="Y26" s="114" t="str">
        <f>IFERROR(INDEX(Расходка[Наименование расходного материала],MATCH(Расходка[[#This Row],[№]],Поиск_расходки[Индекс8],0)),"")</f>
        <v/>
      </c>
      <c r="Z26" s="114" t="str">
        <f>IFERROR(INDEX(Расходка[Наименование расходного материала],MATCH(Расходка[[#This Row],[№]],Поиск_расходки[Индекс9],0)),"")</f>
        <v>Индефлятор</v>
      </c>
      <c r="AA26" s="114" t="str">
        <f>IFERROR(INDEX(Расходка[Наименование расходного материала],MATCH(Расходка[[#This Row],[№]],Поиск_расходки[Индекс10],0)),"")</f>
        <v>Индефлятор</v>
      </c>
      <c r="AB26" s="114" t="str">
        <f>IFERROR(INDEX(Расходка[Наименование расходного материала],MATCH(Расходка[[#This Row],[№]],Поиск_расходки[Индекс11],0)),"")</f>
        <v>Индефлятор</v>
      </c>
      <c r="AC26" s="114" t="str">
        <f>IFERROR(INDEX(Расходка[Наименование расходного материала],MATCH(Расходка[[#This Row],[№]],Поиск_расходки[Индекс12],0)),"")</f>
        <v>Индефлятор</v>
      </c>
      <c r="AD26" s="114" t="str">
        <f>IFERROR(INDEX(Расходка[Наименование расходного материала],MATCH(Расходка[[#This Row],[№]],Поиск_расходки[Индекс13],0)),"")</f>
        <v>Индефлятор</v>
      </c>
      <c r="AF26" s="4" t="s">
        <v>5</v>
      </c>
      <c r="AG26" s="4" t="s">
        <v>423</v>
      </c>
    </row>
    <row r="27" spans="1:35">
      <c r="A27">
        <f>ROW(Расходка[[#This Row],[Тип расходного материала ]])-1</f>
        <v>26</v>
      </c>
      <c r="B27" t="s">
        <v>3</v>
      </c>
      <c r="C27" t="s">
        <v>320</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0</v>
      </c>
      <c r="H27" s="115">
        <f>IF(ISNUMBER(SEARCH('Карта учёта'!$B$16,Расходка[[#This Row],[Наименование расходного материала]])),MAX($H$1:H26)+1,0)</f>
        <v>0</v>
      </c>
      <c r="I27" s="115">
        <f>IF(ISNUMBER(SEARCH('Карта учёта'!$B$17,Расходка[[#This Row],[Наименование расходного материала]])),MAX($I$1:I26)+1,0)</f>
        <v>0</v>
      </c>
      <c r="J27" s="115">
        <f>IF(ISNUMBER(SEARCH('Карта учёта'!$B$18,Расходка[[#This Row],[Наименование расходного материала]])),MAX($J$1:J26)+1,0)</f>
        <v>0</v>
      </c>
      <c r="K27" s="115">
        <f>IF(ISNUMBER(SEARCH('Карта учёта'!$B$19,Расходка[[#This Row],[Наименование расходного материала]])),MAX($K$1:K26)+1,0)</f>
        <v>0</v>
      </c>
      <c r="L27" s="115">
        <f>IF(ISNUMBER(SEARCH('Карта учёта'!$B$20,Расходка[[#This Row],[Наименование расходного материала]])),MAX($L$1:L26)+1,0)</f>
        <v>0</v>
      </c>
      <c r="M27" s="115">
        <f>IF(ISNUMBER(SEARCH('Карта учёта'!$B$21,Расходка[[#This Row],[Наименование расходного материала]])),MAX($M$1:M26)+1,0)</f>
        <v>26</v>
      </c>
      <c r="N27" s="115">
        <f>IF(ISNUMBER(SEARCH('Карта учёта'!$B$22,Расходка[[#This Row],[Наименование расходного материала]])),MAX($N$1:N26)+1,0)</f>
        <v>26</v>
      </c>
      <c r="O27" s="115">
        <f>IF(ISNUMBER(SEARCH('Карта учёта'!$B$23,Расходка[[#This Row],[Наименование расходного материала]])),MAX($O$1:O26)+1,0)</f>
        <v>26</v>
      </c>
      <c r="P27" s="115">
        <f>IF(ISNUMBER(SEARCH('Карта учёта'!$B$24,Расходка[[#This Row],[Наименование расходного материала]])),MAX($P$1:P26)+1,0)</f>
        <v>26</v>
      </c>
      <c r="Q27" s="115">
        <f>IF(ISNUMBER(SEARCH('Карта учёта'!$B$25,Расходка[[#This Row],[Наименование расходного материала]])),MAX($Q$1:Q26)+1,0)</f>
        <v>26</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
      </c>
      <c r="U27" s="114" t="str">
        <f>IFERROR(INDEX(Расходка[Наименование расходного материала],MATCH(Расходка[[#This Row],[№]],Поиск_расходки[Индекс4],0)),"")</f>
        <v/>
      </c>
      <c r="V27" s="114" t="str">
        <f>IFERROR(INDEX(Расходка[Наименование расходного материала],MATCH(Расходка[[#This Row],[№]],Поиск_расходки[Индекс5],0)),"")</f>
        <v/>
      </c>
      <c r="W27" s="114" t="str">
        <f>IFERROR(INDEX(Расходка[Наименование расходного материала],MATCH(Расходка[[#This Row],[№]],Поиск_расходки[Индекс6],0)),"")</f>
        <v/>
      </c>
      <c r="X27" s="114" t="str">
        <f>IFERROR(INDEX(Расходка[Наименование расходного материала],MATCH(Расходка[[#This Row],[№]],Поиск_расходки[Индекс7],0)),"")</f>
        <v/>
      </c>
      <c r="Y27" s="114" t="str">
        <f>IFERROR(INDEX(Расходка[Наименование расходного материала],MATCH(Расходка[[#This Row],[№]],Поиск_расходки[Индекс8],0)),"")</f>
        <v/>
      </c>
      <c r="Z27" s="114" t="str">
        <f>IFERROR(INDEX(Расходка[Наименование расходного материала],MATCH(Расходка[[#This Row],[№]],Поиск_расходки[Индекс9],0)),"")</f>
        <v>Cougar LS Hydro-Track®</v>
      </c>
      <c r="AA27" s="114" t="str">
        <f>IFERROR(INDEX(Расходка[Наименование расходного материала],MATCH(Расходка[[#This Row],[№]],Поиск_расходки[Индекс10],0)),"")</f>
        <v>Cougar LS Hydro-Track®</v>
      </c>
      <c r="AB27" s="114" t="str">
        <f>IFERROR(INDEX(Расходка[Наименование расходного материала],MATCH(Расходка[[#This Row],[№]],Поиск_расходки[Индекс11],0)),"")</f>
        <v>Cougar LS Hydro-Track®</v>
      </c>
      <c r="AC27" s="114" t="str">
        <f>IFERROR(INDEX(Расходка[Наименование расходного материала],MATCH(Расходка[[#This Row],[№]],Поиск_расходки[Индекс12],0)),"")</f>
        <v>Cougar LS Hydro-Track®</v>
      </c>
      <c r="AD27" s="114" t="str">
        <f>IFERROR(INDEX(Расходка[Наименование расходного материала],MATCH(Расходка[[#This Row],[№]],Поиск_расходки[Индекс13],0)),"")</f>
        <v>Cougar LS Hydro-Track®</v>
      </c>
      <c r="AF27" s="4" t="s">
        <v>5</v>
      </c>
      <c r="AG27" s="4" t="s">
        <v>424</v>
      </c>
    </row>
    <row r="28" spans="1:35">
      <c r="A28">
        <f>ROW(Расходка[[#This Row],[Тип расходного материала ]])-1</f>
        <v>27</v>
      </c>
      <c r="B28" t="s">
        <v>3</v>
      </c>
      <c r="C28" t="s">
        <v>341</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0</v>
      </c>
      <c r="H28" s="115">
        <f>IF(ISNUMBER(SEARCH('Карта учёта'!$B$16,Расходка[[#This Row],[Наименование расходного материала]])),MAX($H$1:H27)+1,0)</f>
        <v>0</v>
      </c>
      <c r="I28" s="115">
        <f>IF(ISNUMBER(SEARCH('Карта учёта'!$B$17,Расходка[[#This Row],[Наименование расходного материала]])),MAX($I$1:I27)+1,0)</f>
        <v>0</v>
      </c>
      <c r="J28" s="115">
        <f>IF(ISNUMBER(SEARCH('Карта учёта'!$B$18,Расходка[[#This Row],[Наименование расходного материала]])),MAX($J$1:J27)+1,0)</f>
        <v>0</v>
      </c>
      <c r="K28" s="115">
        <f>IF(ISNUMBER(SEARCH('Карта учёта'!$B$19,Расходка[[#This Row],[Наименование расходного материала]])),MAX($K$1:K27)+1,0)</f>
        <v>0</v>
      </c>
      <c r="L28" s="115">
        <f>IF(ISNUMBER(SEARCH('Карта учёта'!$B$20,Расходка[[#This Row],[Наименование расходного материала]])),MAX($L$1:L27)+1,0)</f>
        <v>0</v>
      </c>
      <c r="M28" s="115">
        <f>IF(ISNUMBER(SEARCH('Карта учёта'!$B$21,Расходка[[#This Row],[Наименование расходного материала]])),MAX($M$1:M27)+1,0)</f>
        <v>27</v>
      </c>
      <c r="N28" s="115">
        <f>IF(ISNUMBER(SEARCH('Карта учёта'!$B$22,Расходка[[#This Row],[Наименование расходного материала]])),MAX($N$1:N27)+1,0)</f>
        <v>27</v>
      </c>
      <c r="O28" s="115">
        <f>IF(ISNUMBER(SEARCH('Карта учёта'!$B$23,Расходка[[#This Row],[Наименование расходного материала]])),MAX($O$1:O27)+1,0)</f>
        <v>27</v>
      </c>
      <c r="P28" s="115">
        <f>IF(ISNUMBER(SEARCH('Карта учёта'!$B$24,Расходка[[#This Row],[Наименование расходного материала]])),MAX($P$1:P27)+1,0)</f>
        <v>27</v>
      </c>
      <c r="Q28" s="115">
        <f>IF(ISNUMBER(SEARCH('Карта учёта'!$B$25,Расходка[[#This Row],[Наименование расходного материала]])),MAX($Q$1:Q27)+1,0)</f>
        <v>27</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
      </c>
      <c r="U28" s="114" t="str">
        <f>IFERROR(INDEX(Расходка[Наименование расходного материала],MATCH(Расходка[[#This Row],[№]],Поиск_расходки[Индекс4],0)),"")</f>
        <v/>
      </c>
      <c r="V28" s="114" t="str">
        <f>IFERROR(INDEX(Расходка[Наименование расходного материала],MATCH(Расходка[[#This Row],[№]],Поиск_расходки[Индекс5],0)),"")</f>
        <v/>
      </c>
      <c r="W28" s="114" t="str">
        <f>IFERROR(INDEX(Расходка[Наименование расходного материала],MATCH(Расходка[[#This Row],[№]],Поиск_расходки[Индекс6],0)),"")</f>
        <v/>
      </c>
      <c r="X28" s="114" t="str">
        <f>IFERROR(INDEX(Расходка[Наименование расходного материала],MATCH(Расходка[[#This Row],[№]],Поиск_расходки[Индекс7],0)),"")</f>
        <v/>
      </c>
      <c r="Y28" s="114" t="str">
        <f>IFERROR(INDEX(Расходка[Наименование расходного материала],MATCH(Расходка[[#This Row],[№]],Поиск_расходки[Индекс8],0)),"")</f>
        <v/>
      </c>
      <c r="Z28" s="114" t="str">
        <f>IFERROR(INDEX(Расходка[Наименование расходного материала],MATCH(Расходка[[#This Row],[№]],Поиск_расходки[Индекс9],0)),"")</f>
        <v>Cougar XT Hydro-Track®</v>
      </c>
      <c r="AA28" s="114" t="str">
        <f>IFERROR(INDEX(Расходка[Наименование расходного материала],MATCH(Расходка[[#This Row],[№]],Поиск_расходки[Индекс10],0)),"")</f>
        <v>Cougar XT Hydro-Track®</v>
      </c>
      <c r="AB28" s="114" t="str">
        <f>IFERROR(INDEX(Расходка[Наименование расходного материала],MATCH(Расходка[[#This Row],[№]],Поиск_расходки[Индекс11],0)),"")</f>
        <v>Cougar XT Hydro-Track®</v>
      </c>
      <c r="AC28" s="114" t="str">
        <f>IFERROR(INDEX(Расходка[Наименование расходного материала],MATCH(Расходка[[#This Row],[№]],Поиск_расходки[Индекс12],0)),"")</f>
        <v>Cougar XT Hydro-Track®</v>
      </c>
      <c r="AD28" s="114" t="str">
        <f>IFERROR(INDEX(Расходка[Наименование расходного материала],MATCH(Расходка[[#This Row],[№]],Поиск_расходки[Индекс13],0)),"")</f>
        <v>Cougar XT Hydro-Track®</v>
      </c>
      <c r="AF28" s="4" t="s">
        <v>5</v>
      </c>
      <c r="AG28" s="4" t="s">
        <v>425</v>
      </c>
    </row>
    <row r="29" spans="1:35">
      <c r="A29">
        <f>ROW(Расходка[[#This Row],[Тип расходного материала ]])-1</f>
        <v>28</v>
      </c>
      <c r="B29" t="s">
        <v>3</v>
      </c>
      <c r="C29" t="s">
        <v>313</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0</v>
      </c>
      <c r="H29" s="115">
        <f>IF(ISNUMBER(SEARCH('Карта учёта'!$B$16,Расходка[[#This Row],[Наименование расходного материала]])),MAX($H$1:H28)+1,0)</f>
        <v>0</v>
      </c>
      <c r="I29" s="115">
        <f>IF(ISNUMBER(SEARCH('Карта учёта'!$B$17,Расходка[[#This Row],[Наименование расходного материала]])),MAX($I$1:I28)+1,0)</f>
        <v>0</v>
      </c>
      <c r="J29" s="115">
        <f>IF(ISNUMBER(SEARCH('Карта учёта'!$B$18,Расходка[[#This Row],[Наименование расходного материала]])),MAX($J$1:J28)+1,0)</f>
        <v>0</v>
      </c>
      <c r="K29" s="115">
        <f>IF(ISNUMBER(SEARCH('Карта учёта'!$B$19,Расходка[[#This Row],[Наименование расходного материала]])),MAX($K$1:K28)+1,0)</f>
        <v>0</v>
      </c>
      <c r="L29" s="115">
        <f>IF(ISNUMBER(SEARCH('Карта учёта'!$B$20,Расходка[[#This Row],[Наименование расходного материала]])),MAX($L$1:L28)+1,0)</f>
        <v>0</v>
      </c>
      <c r="M29" s="115">
        <f>IF(ISNUMBER(SEARCH('Карта учёта'!$B$21,Расходка[[#This Row],[Наименование расходного материала]])),MAX($M$1:M28)+1,0)</f>
        <v>28</v>
      </c>
      <c r="N29" s="115">
        <f>IF(ISNUMBER(SEARCH('Карта учёта'!$B$22,Расходка[[#This Row],[Наименование расходного материала]])),MAX($N$1:N28)+1,0)</f>
        <v>28</v>
      </c>
      <c r="O29" s="115">
        <f>IF(ISNUMBER(SEARCH('Карта учёта'!$B$23,Расходка[[#This Row],[Наименование расходного материала]])),MAX($O$1:O28)+1,0)</f>
        <v>28</v>
      </c>
      <c r="P29" s="115">
        <f>IF(ISNUMBER(SEARCH('Карта учёта'!$B$24,Расходка[[#This Row],[Наименование расходного материала]])),MAX($P$1:P28)+1,0)</f>
        <v>28</v>
      </c>
      <c r="Q29" s="115">
        <f>IF(ISNUMBER(SEARCH('Карта учёта'!$B$25,Расходка[[#This Row],[Наименование расходного материала]])),MAX($Q$1:Q28)+1,0)</f>
        <v>28</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
      </c>
      <c r="U29" s="114" t="str">
        <f>IFERROR(INDEX(Расходка[Наименование расходного материала],MATCH(Расходка[[#This Row],[№]],Поиск_расходки[Индекс4],0)),"")</f>
        <v/>
      </c>
      <c r="V29" s="114" t="str">
        <f>IFERROR(INDEX(Расходка[Наименование расходного материала],MATCH(Расходка[[#This Row],[№]],Поиск_расходки[Индекс5],0)),"")</f>
        <v/>
      </c>
      <c r="W29" s="114" t="str">
        <f>IFERROR(INDEX(Расходка[Наименование расходного материала],MATCH(Расходка[[#This Row],[№]],Поиск_расходки[Индекс6],0)),"")</f>
        <v/>
      </c>
      <c r="X29" s="114" t="str">
        <f>IFERROR(INDEX(Расходка[Наименование расходного материала],MATCH(Расходка[[#This Row],[№]],Поиск_расходки[Индекс7],0)),"")</f>
        <v/>
      </c>
      <c r="Y29" s="114" t="str">
        <f>IFERROR(INDEX(Расходка[Наименование расходного материала],MATCH(Расходка[[#This Row],[№]],Поиск_расходки[Индекс8],0)),"")</f>
        <v/>
      </c>
      <c r="Z29" s="114" t="str">
        <f>IFERROR(INDEX(Расходка[Наименование расходного материала],MATCH(Расходка[[#This Row],[№]],Поиск_расходки[Индекс9],0)),"")</f>
        <v>Fielder</v>
      </c>
      <c r="AA29" s="114" t="str">
        <f>IFERROR(INDEX(Расходка[Наименование расходного материала],MATCH(Расходка[[#This Row],[№]],Поиск_расходки[Индекс10],0)),"")</f>
        <v>Fielder</v>
      </c>
      <c r="AB29" s="114" t="str">
        <f>IFERROR(INDEX(Расходка[Наименование расходного материала],MATCH(Расходка[[#This Row],[№]],Поиск_расходки[Индекс11],0)),"")</f>
        <v>Fielder</v>
      </c>
      <c r="AC29" s="114" t="str">
        <f>IFERROR(INDEX(Расходка[Наименование расходного материала],MATCH(Расходка[[#This Row],[№]],Поиск_расходки[Индекс12],0)),"")</f>
        <v>Fielder</v>
      </c>
      <c r="AD29" s="114" t="str">
        <f>IFERROR(INDEX(Расходка[Наименование расходного материала],MATCH(Расходка[[#This Row],[№]],Поиск_расходки[Индекс13],0)),"")</f>
        <v>Fielder</v>
      </c>
      <c r="AF29" s="4" t="s">
        <v>5</v>
      </c>
      <c r="AG29" s="4" t="s">
        <v>426</v>
      </c>
    </row>
    <row r="30" spans="1:35">
      <c r="A30">
        <f>ROW(Расходка[[#This Row],[Тип расходного материала ]])-1</f>
        <v>29</v>
      </c>
      <c r="B30" t="s">
        <v>3</v>
      </c>
      <c r="C30" t="s">
        <v>371</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0</v>
      </c>
      <c r="H30" s="115">
        <f>IF(ISNUMBER(SEARCH('Карта учёта'!$B$16,Расходка[[#This Row],[Наименование расходного материала]])),MAX($H$1:H29)+1,0)</f>
        <v>0</v>
      </c>
      <c r="I30" s="115">
        <f>IF(ISNUMBER(SEARCH('Карта учёта'!$B$17,Расходка[[#This Row],[Наименование расходного материала]])),MAX($I$1:I29)+1,0)</f>
        <v>0</v>
      </c>
      <c r="J30" s="115">
        <f>IF(ISNUMBER(SEARCH('Карта учёта'!$B$18,Расходка[[#This Row],[Наименование расходного материала]])),MAX($J$1:J29)+1,0)</f>
        <v>0</v>
      </c>
      <c r="K30" s="115">
        <f>IF(ISNUMBER(SEARCH('Карта учёта'!$B$19,Расходка[[#This Row],[Наименование расходного материала]])),MAX($K$1:K29)+1,0)</f>
        <v>0</v>
      </c>
      <c r="L30" s="115">
        <f>IF(ISNUMBER(SEARCH('Карта учёта'!$B$20,Расходка[[#This Row],[Наименование расходного материала]])),MAX($L$1:L29)+1,0)</f>
        <v>0</v>
      </c>
      <c r="M30" s="115">
        <f>IF(ISNUMBER(SEARCH('Карта учёта'!$B$21,Расходка[[#This Row],[Наименование расходного материала]])),MAX($M$1:M29)+1,0)</f>
        <v>29</v>
      </c>
      <c r="N30" s="115">
        <f>IF(ISNUMBER(SEARCH('Карта учёта'!$B$22,Расходка[[#This Row],[Наименование расходного материала]])),MAX($N$1:N29)+1,0)</f>
        <v>29</v>
      </c>
      <c r="O30" s="115">
        <f>IF(ISNUMBER(SEARCH('Карта учёта'!$B$23,Расходка[[#This Row],[Наименование расходного материала]])),MAX($O$1:O29)+1,0)</f>
        <v>29</v>
      </c>
      <c r="P30" s="115">
        <f>IF(ISNUMBER(SEARCH('Карта учёта'!$B$24,Расходка[[#This Row],[Наименование расходного материала]])),MAX($P$1:P29)+1,0)</f>
        <v>29</v>
      </c>
      <c r="Q30" s="115">
        <f>IF(ISNUMBER(SEARCH('Карта учёта'!$B$25,Расходка[[#This Row],[Наименование расходного материала]])),MAX($Q$1:Q29)+1,0)</f>
        <v>29</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
      </c>
      <c r="U30" s="114" t="str">
        <f>IFERROR(INDEX(Расходка[Наименование расходного материала],MATCH(Расходка[[#This Row],[№]],Поиск_расходки[Индекс4],0)),"")</f>
        <v/>
      </c>
      <c r="V30" s="114" t="str">
        <f>IFERROR(INDEX(Расходка[Наименование расходного материала],MATCH(Расходка[[#This Row],[№]],Поиск_расходки[Индекс5],0)),"")</f>
        <v/>
      </c>
      <c r="W30" s="114" t="str">
        <f>IFERROR(INDEX(Расходка[Наименование расходного материала],MATCH(Расходка[[#This Row],[№]],Поиск_расходки[Индекс6],0)),"")</f>
        <v/>
      </c>
      <c r="X30" s="114" t="str">
        <f>IFERROR(INDEX(Расходка[Наименование расходного материала],MATCH(Расходка[[#This Row],[№]],Поиск_расходки[Индекс7],0)),"")</f>
        <v/>
      </c>
      <c r="Y30" s="114" t="str">
        <f>IFERROR(INDEX(Расходка[Наименование расходного материала],MATCH(Расходка[[#This Row],[№]],Поиск_расходки[Индекс8],0)),"")</f>
        <v/>
      </c>
      <c r="Z30" s="114" t="str">
        <f>IFERROR(INDEX(Расходка[Наименование расходного материала],MATCH(Расходка[[#This Row],[№]],Поиск_расходки[Индекс9],0)),"")</f>
        <v>Fielder XT-A</v>
      </c>
      <c r="AA30" s="114" t="str">
        <f>IFERROR(INDEX(Расходка[Наименование расходного материала],MATCH(Расходка[[#This Row],[№]],Поиск_расходки[Индекс10],0)),"")</f>
        <v>Fielder XT-A</v>
      </c>
      <c r="AB30" s="114" t="str">
        <f>IFERROR(INDEX(Расходка[Наименование расходного материала],MATCH(Расходка[[#This Row],[№]],Поиск_расходки[Индекс11],0)),"")</f>
        <v>Fielder XT-A</v>
      </c>
      <c r="AC30" s="114" t="str">
        <f>IFERROR(INDEX(Расходка[Наименование расходного материала],MATCH(Расходка[[#This Row],[№]],Поиск_расходки[Индекс12],0)),"")</f>
        <v>Fielder XT-A</v>
      </c>
      <c r="AD30" s="114" t="str">
        <f>IFERROR(INDEX(Расходка[Наименование расходного материала],MATCH(Расходка[[#This Row],[№]],Поиск_расходки[Индекс13],0)),"")</f>
        <v>Fielder XT-A</v>
      </c>
      <c r="AF30" s="4" t="s">
        <v>5</v>
      </c>
      <c r="AG30" s="4" t="s">
        <v>488</v>
      </c>
    </row>
    <row r="31" spans="1:35">
      <c r="A31">
        <f>ROW(Расходка[[#This Row],[Тип расходного материала ]])-1</f>
        <v>30</v>
      </c>
      <c r="B31" t="s">
        <v>3</v>
      </c>
      <c r="C31" t="s">
        <v>372</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0</v>
      </c>
      <c r="H31" s="115">
        <f>IF(ISNUMBER(SEARCH('Карта учёта'!$B$16,Расходка[[#This Row],[Наименование расходного материала]])),MAX($H$1:H30)+1,0)</f>
        <v>0</v>
      </c>
      <c r="I31" s="115">
        <f>IF(ISNUMBER(SEARCH('Карта учёта'!$B$17,Расходка[[#This Row],[Наименование расходного материала]])),MAX($I$1:I30)+1,0)</f>
        <v>0</v>
      </c>
      <c r="J31" s="115">
        <f>IF(ISNUMBER(SEARCH('Карта учёта'!$B$18,Расходка[[#This Row],[Наименование расходного материала]])),MAX($J$1:J30)+1,0)</f>
        <v>0</v>
      </c>
      <c r="K31" s="115">
        <f>IF(ISNUMBER(SEARCH('Карта учёта'!$B$19,Расходка[[#This Row],[Наименование расходного материала]])),MAX($K$1:K30)+1,0)</f>
        <v>0</v>
      </c>
      <c r="L31" s="115">
        <f>IF(ISNUMBER(SEARCH('Карта учёта'!$B$20,Расходка[[#This Row],[Наименование расходного материала]])),MAX($L$1:L30)+1,0)</f>
        <v>0</v>
      </c>
      <c r="M31" s="115">
        <f>IF(ISNUMBER(SEARCH('Карта учёта'!$B$21,Расходка[[#This Row],[Наименование расходного материала]])),MAX($M$1:M30)+1,0)</f>
        <v>30</v>
      </c>
      <c r="N31" s="115">
        <f>IF(ISNUMBER(SEARCH('Карта учёта'!$B$22,Расходка[[#This Row],[Наименование расходного материала]])),MAX($N$1:N30)+1,0)</f>
        <v>30</v>
      </c>
      <c r="O31" s="115">
        <f>IF(ISNUMBER(SEARCH('Карта учёта'!$B$23,Расходка[[#This Row],[Наименование расходного материала]])),MAX($O$1:O30)+1,0)</f>
        <v>30</v>
      </c>
      <c r="P31" s="115">
        <f>IF(ISNUMBER(SEARCH('Карта учёта'!$B$24,Расходка[[#This Row],[Наименование расходного материала]])),MAX($P$1:P30)+1,0)</f>
        <v>30</v>
      </c>
      <c r="Q31" s="115">
        <f>IF(ISNUMBER(SEARCH('Карта учёта'!$B$25,Расходка[[#This Row],[Наименование расходного материала]])),MAX($Q$1:Q30)+1,0)</f>
        <v>30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
      </c>
      <c r="U31" s="114" t="str">
        <f>IFERROR(INDEX(Расходка[Наименование расходного материала],MATCH(Расходка[[#This Row],[№]],Поиск_расходки[Индекс4],0)),"")</f>
        <v/>
      </c>
      <c r="V31" s="114" t="str">
        <f>IFERROR(INDEX(Расходка[Наименование расходного материала],MATCH(Расходка[[#This Row],[№]],Поиск_расходки[Индекс5],0)),"")</f>
        <v/>
      </c>
      <c r="W31" s="114" t="str">
        <f>IFERROR(INDEX(Расходка[Наименование расходного материала],MATCH(Расходка[[#This Row],[№]],Поиск_расходки[Индекс6],0)),"")</f>
        <v/>
      </c>
      <c r="X31" s="114" t="str">
        <f>IFERROR(INDEX(Расходка[Наименование расходного материала],MATCH(Расходка[[#This Row],[№]],Поиск_расходки[Индекс7],0)),"")</f>
        <v/>
      </c>
      <c r="Y31" s="114" t="str">
        <f>IFERROR(INDEX(Расходка[Наименование расходного материала],MATCH(Расходка[[#This Row],[№]],Поиск_расходки[Индекс8],0)),"")</f>
        <v/>
      </c>
      <c r="Z31" s="114" t="str">
        <f>IFERROR(INDEX(Расходка[Наименование расходного материала],MATCH(Расходка[[#This Row],[№]],Поиск_расходки[Индекс9],0)),"")</f>
        <v>Fielder XT-R</v>
      </c>
      <c r="AA31" s="114" t="str">
        <f>IFERROR(INDEX(Расходка[Наименование расходного материала],MATCH(Расходка[[#This Row],[№]],Поиск_расходки[Индекс10],0)),"")</f>
        <v>Fielder XT-R</v>
      </c>
      <c r="AB31" s="114" t="str">
        <f>IFERROR(INDEX(Расходка[Наименование расходного материала],MATCH(Расходка[[#This Row],[№]],Поиск_расходки[Индекс11],0)),"")</f>
        <v>Fielder XT-R</v>
      </c>
      <c r="AC31" s="114" t="str">
        <f>IFERROR(INDEX(Расходка[Наименование расходного материала],MATCH(Расходка[[#This Row],[№]],Поиск_расходки[Индекс12],0)),"")</f>
        <v>Fielder XT-R</v>
      </c>
      <c r="AD31" s="114" t="str">
        <f>IFERROR(INDEX(Расходка[Наименование расходного материала],MATCH(Расходка[[#This Row],[№]],Поиск_расходки[Индекс13],0)),"")</f>
        <v>Fielder XT-R</v>
      </c>
      <c r="AF31" s="4" t="s">
        <v>5</v>
      </c>
      <c r="AG31" s="4" t="s">
        <v>427</v>
      </c>
    </row>
    <row r="32" spans="1:35">
      <c r="A32">
        <f>ROW(Расходка[[#This Row],[Тип расходного материала ]])-1</f>
        <v>31</v>
      </c>
      <c r="B32" t="s">
        <v>3</v>
      </c>
      <c r="C32" t="s">
        <v>509</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0</v>
      </c>
      <c r="H32" s="115">
        <f>IF(ISNUMBER(SEARCH('Карта учёта'!$B$16,Расходка[[#This Row],[Наименование расходного материала]])),MAX($H$1:H31)+1,0)</f>
        <v>0</v>
      </c>
      <c r="I32" s="115">
        <f>IF(ISNUMBER(SEARCH('Карта учёта'!$B$17,Расходка[[#This Row],[Наименование расходного материала]])),MAX($I$1:I31)+1,0)</f>
        <v>0</v>
      </c>
      <c r="J32" s="115">
        <f>IF(ISNUMBER(SEARCH('Карта учёта'!$B$18,Расходка[[#This Row],[Наименование расходного материала]])),MAX($J$1:J31)+1,0)</f>
        <v>0</v>
      </c>
      <c r="K32" s="115">
        <f>IF(ISNUMBER(SEARCH('Карта учёта'!$B$19,Расходка[[#This Row],[Наименование расходного материала]])),MAX($K$1:K31)+1,0)</f>
        <v>0</v>
      </c>
      <c r="L32" s="115">
        <f>IF(ISNUMBER(SEARCH('Карта учёта'!$B$20,Расходка[[#This Row],[Наименование расходного материала]])),MAX($L$1:L31)+1,0)</f>
        <v>0</v>
      </c>
      <c r="M32" s="115">
        <f>IF(ISNUMBER(SEARCH('Карта учёта'!$B$21,Расходка[[#This Row],[Наименование расходного материала]])),MAX($M$1:M31)+1,0)</f>
        <v>31</v>
      </c>
      <c r="N32" s="115">
        <f>IF(ISNUMBER(SEARCH('Карта учёта'!$B$22,Расходка[[#This Row],[Наименование расходного материала]])),MAX($N$1:N31)+1,0)</f>
        <v>31</v>
      </c>
      <c r="O32" s="115">
        <f>IF(ISNUMBER(SEARCH('Карта учёта'!$B$23,Расходка[[#This Row],[Наименование расходного материала]])),MAX($O$1:O31)+1,0)</f>
        <v>31</v>
      </c>
      <c r="P32" s="115">
        <f>IF(ISNUMBER(SEARCH('Карта учёта'!$B$24,Расходка[[#This Row],[Наименование расходного материала]])),MAX($P$1:P31)+1,0)</f>
        <v>31</v>
      </c>
      <c r="Q32" s="115">
        <f>IF(ISNUMBER(SEARCH('Карта учёта'!$B$25,Расходка[[#This Row],[Наименование расходного материала]])),MAX($Q$1:Q31)+1,0)</f>
        <v>31</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
      </c>
      <c r="U32" s="114" t="str">
        <f>IFERROR(INDEX(Расходка[Наименование расходного материала],MATCH(Расходка[[#This Row],[№]],Поиск_расходки[Индекс4],0)),"")</f>
        <v/>
      </c>
      <c r="V32" s="114" t="str">
        <f>IFERROR(INDEX(Расходка[Наименование расходного материала],MATCH(Расходка[[#This Row],[№]],Поиск_расходки[Индекс5],0)),"")</f>
        <v/>
      </c>
      <c r="W32" s="114" t="str">
        <f>IFERROR(INDEX(Расходка[Наименование расходного материала],MATCH(Расходка[[#This Row],[№]],Поиск_расходки[Индекс6],0)),"")</f>
        <v/>
      </c>
      <c r="X32" s="114" t="str">
        <f>IFERROR(INDEX(Расходка[Наименование расходного материала],MATCH(Расходка[[#This Row],[№]],Поиск_расходки[Индекс7],0)),"")</f>
        <v/>
      </c>
      <c r="Y32" s="114" t="str">
        <f>IFERROR(INDEX(Расходка[Наименование расходного материала],MATCH(Расходка[[#This Row],[№]],Поиск_расходки[Индекс8],0)),"")</f>
        <v/>
      </c>
      <c r="Z32" s="114" t="str">
        <f>IFERROR(INDEX(Расходка[Наименование расходного материала],MATCH(Расходка[[#This Row],[№]],Поиск_расходки[Индекс9],0)),"")</f>
        <v>Asahi Gaia First</v>
      </c>
      <c r="AA32" s="114" t="str">
        <f>IFERROR(INDEX(Расходка[Наименование расходного материала],MATCH(Расходка[[#This Row],[№]],Поиск_расходки[Индекс10],0)),"")</f>
        <v>Asahi Gaia First</v>
      </c>
      <c r="AB32" s="114" t="str">
        <f>IFERROR(INDEX(Расходка[Наименование расходного материала],MATCH(Расходка[[#This Row],[№]],Поиск_расходки[Индекс11],0)),"")</f>
        <v>Asahi Gaia First</v>
      </c>
      <c r="AC32" s="114" t="str">
        <f>IFERROR(INDEX(Расходка[Наименование расходного материала],MATCH(Расходка[[#This Row],[№]],Поиск_расходки[Индекс12],0)),"")</f>
        <v>Asahi Gaia First</v>
      </c>
      <c r="AD32" s="114" t="str">
        <f>IFERROR(INDEX(Расходка[Наименование расходного материала],MATCH(Расходка[[#This Row],[№]],Поиск_расходки[Индекс13],0)),"")</f>
        <v>Asahi Gaia First</v>
      </c>
      <c r="AF32" s="4" t="s">
        <v>5</v>
      </c>
      <c r="AG32" s="4" t="s">
        <v>428</v>
      </c>
    </row>
    <row r="33" spans="1:33">
      <c r="A33">
        <f>ROW(Расходка[[#This Row],[Тип расходного материала ]])-1</f>
        <v>32</v>
      </c>
      <c r="B33" t="s">
        <v>3</v>
      </c>
      <c r="C33" s="1" t="s">
        <v>510</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0</v>
      </c>
      <c r="H33" s="115">
        <f>IF(ISNUMBER(SEARCH('Карта учёта'!$B$16,Расходка[[#This Row],[Наименование расходного материала]])),MAX($H$1:H32)+1,0)</f>
        <v>0</v>
      </c>
      <c r="I33" s="115">
        <f>IF(ISNUMBER(SEARCH('Карта учёта'!$B$17,Расходка[[#This Row],[Наименование расходного материала]])),MAX($I$1:I32)+1,0)</f>
        <v>0</v>
      </c>
      <c r="J33" s="115">
        <f>IF(ISNUMBER(SEARCH('Карта учёта'!$B$18,Расходка[[#This Row],[Наименование расходного материала]])),MAX($J$1:J32)+1,0)</f>
        <v>0</v>
      </c>
      <c r="K33" s="115">
        <f>IF(ISNUMBER(SEARCH('Карта учёта'!$B$19,Расходка[[#This Row],[Наименование расходного материала]])),MAX($K$1:K32)+1,0)</f>
        <v>0</v>
      </c>
      <c r="L33" s="115">
        <f>IF(ISNUMBER(SEARCH('Карта учёта'!$B$20,Расходка[[#This Row],[Наименование расходного материала]])),MAX($L$1:L32)+1,0)</f>
        <v>0</v>
      </c>
      <c r="M33" s="115">
        <f>IF(ISNUMBER(SEARCH('Карта учёта'!$B$21,Расходка[[#This Row],[Наименование расходного материала]])),MAX($M$1:M32)+1,0)</f>
        <v>32</v>
      </c>
      <c r="N33" s="115">
        <f>IF(ISNUMBER(SEARCH('Карта учёта'!$B$22,Расходка[[#This Row],[Наименование расходного материала]])),MAX($N$1:N32)+1,0)</f>
        <v>32</v>
      </c>
      <c r="O33" s="115">
        <f>IF(ISNUMBER(SEARCH('Карта учёта'!$B$23,Расходка[[#This Row],[Наименование расходного материала]])),MAX($O$1:O32)+1,0)</f>
        <v>32</v>
      </c>
      <c r="P33" s="115">
        <f>IF(ISNUMBER(SEARCH('Карта учёта'!$B$24,Расходка[[#This Row],[Наименование расходного материала]])),MAX($P$1:P32)+1,0)</f>
        <v>32</v>
      </c>
      <c r="Q33" s="115">
        <f>IF(ISNUMBER(SEARCH('Карта учёта'!$B$25,Расходка[[#This Row],[Наименование расходного материала]])),MAX($Q$1:Q32)+1,0)</f>
        <v>32</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
      </c>
      <c r="U33" s="114" t="str">
        <f>IFERROR(INDEX(Расходка[Наименование расходного материала],MATCH(Расходка[[#This Row],[№]],Поиск_расходки[Индекс4],0)),"")</f>
        <v/>
      </c>
      <c r="V33" s="114" t="str">
        <f>IFERROR(INDEX(Расходка[Наименование расходного материала],MATCH(Расходка[[#This Row],[№]],Поиск_расходки[Индекс5],0)),"")</f>
        <v/>
      </c>
      <c r="W33" s="114" t="str">
        <f>IFERROR(INDEX(Расходка[Наименование расходного материала],MATCH(Расходка[[#This Row],[№]],Поиск_расходки[Индекс6],0)),"")</f>
        <v/>
      </c>
      <c r="X33" s="114" t="str">
        <f>IFERROR(INDEX(Расходка[Наименование расходного материала],MATCH(Расходка[[#This Row],[№]],Поиск_расходки[Индекс7],0)),"")</f>
        <v/>
      </c>
      <c r="Y33" s="114" t="str">
        <f>IFERROR(INDEX(Расходка[Наименование расходного материала],MATCH(Расходка[[#This Row],[№]],Поиск_расходки[Индекс8],0)),"")</f>
        <v/>
      </c>
      <c r="Z33" s="114" t="str">
        <f>IFERROR(INDEX(Расходка[Наименование расходного материала],MATCH(Расходка[[#This Row],[№]],Поиск_расходки[Индекс9],0)),"")</f>
        <v>Asahi Gaia Second</v>
      </c>
      <c r="AA33" s="114" t="str">
        <f>IFERROR(INDEX(Расходка[Наименование расходного материала],MATCH(Расходка[[#This Row],[№]],Поиск_расходки[Индекс10],0)),"")</f>
        <v>Asahi Gaia Second</v>
      </c>
      <c r="AB33" s="114" t="str">
        <f>IFERROR(INDEX(Расходка[Наименование расходного материала],MATCH(Расходка[[#This Row],[№]],Поиск_расходки[Индекс11],0)),"")</f>
        <v>Asahi Gaia Second</v>
      </c>
      <c r="AC33" s="114" t="str">
        <f>IFERROR(INDEX(Расходка[Наименование расходного материала],MATCH(Расходка[[#This Row],[№]],Поиск_расходки[Индекс12],0)),"")</f>
        <v>Asahi Gaia Second</v>
      </c>
      <c r="AD33" s="114" t="str">
        <f>IFERROR(INDEX(Расходка[Наименование расходного материала],MATCH(Расходка[[#This Row],[№]],Поиск_расходки[Индекс13],0)),"")</f>
        <v>Asahi Gaia Second</v>
      </c>
      <c r="AF33" s="4" t="s">
        <v>5</v>
      </c>
      <c r="AG33" s="4" t="s">
        <v>429</v>
      </c>
    </row>
    <row r="34" spans="1:33">
      <c r="A34">
        <f>ROW(Расходка[[#This Row],[Тип расходного материала ]])-1</f>
        <v>33</v>
      </c>
      <c r="B34" t="s">
        <v>3</v>
      </c>
      <c r="C34" s="1" t="s">
        <v>511</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0</v>
      </c>
      <c r="H34" s="115">
        <f>IF(ISNUMBER(SEARCH('Карта учёта'!$B$16,Расходка[[#This Row],[Наименование расходного материала]])),MAX($H$1:H33)+1,0)</f>
        <v>0</v>
      </c>
      <c r="I34" s="115">
        <f>IF(ISNUMBER(SEARCH('Карта учёта'!$B$17,Расходка[[#This Row],[Наименование расходного материала]])),MAX($I$1:I33)+1,0)</f>
        <v>0</v>
      </c>
      <c r="J34" s="115">
        <f>IF(ISNUMBER(SEARCH('Карта учёта'!$B$18,Расходка[[#This Row],[Наименование расходного материала]])),MAX($J$1:J33)+1,0)</f>
        <v>0</v>
      </c>
      <c r="K34" s="115">
        <f>IF(ISNUMBER(SEARCH('Карта учёта'!$B$19,Расходка[[#This Row],[Наименование расходного материала]])),MAX($K$1:K33)+1,0)</f>
        <v>0</v>
      </c>
      <c r="L34" s="115">
        <f>IF(ISNUMBER(SEARCH('Карта учёта'!$B$20,Расходка[[#This Row],[Наименование расходного материала]])),MAX($L$1:L33)+1,0)</f>
        <v>0</v>
      </c>
      <c r="M34" s="115">
        <f>IF(ISNUMBER(SEARCH('Карта учёта'!$B$21,Расходка[[#This Row],[Наименование расходного материала]])),MAX($M$1:M33)+1,0)</f>
        <v>33</v>
      </c>
      <c r="N34" s="115">
        <f>IF(ISNUMBER(SEARCH('Карта учёта'!$B$22,Расходка[[#This Row],[Наименование расходного материала]])),MAX($N$1:N33)+1,0)</f>
        <v>33</v>
      </c>
      <c r="O34" s="115">
        <f>IF(ISNUMBER(SEARCH('Карта учёта'!$B$23,Расходка[[#This Row],[Наименование расходного материала]])),MAX($O$1:O33)+1,0)</f>
        <v>33</v>
      </c>
      <c r="P34" s="115">
        <f>IF(ISNUMBER(SEARCH('Карта учёта'!$B$24,Расходка[[#This Row],[Наименование расходного материала]])),MAX($P$1:P33)+1,0)</f>
        <v>33</v>
      </c>
      <c r="Q34" s="115">
        <f>IF(ISNUMBER(SEARCH('Карта учёта'!$B$25,Расходка[[#This Row],[Наименование расходного материала]])),MAX($Q$1:Q33)+1,0)</f>
        <v>33</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
      </c>
      <c r="U34" s="114" t="str">
        <f>IFERROR(INDEX(Расходка[Наименование расходного материала],MATCH(Расходка[[#This Row],[№]],Поиск_расходки[Индекс4],0)),"")</f>
        <v/>
      </c>
      <c r="V34" s="114" t="str">
        <f>IFERROR(INDEX(Расходка[Наименование расходного материала],MATCH(Расходка[[#This Row],[№]],Поиск_расходки[Индекс5],0)),"")</f>
        <v/>
      </c>
      <c r="W34" s="114" t="str">
        <f>IFERROR(INDEX(Расходка[Наименование расходного материала],MATCH(Расходка[[#This Row],[№]],Поиск_расходки[Индекс6],0)),"")</f>
        <v/>
      </c>
      <c r="X34" s="114" t="str">
        <f>IFERROR(INDEX(Расходка[Наименование расходного материала],MATCH(Расходка[[#This Row],[№]],Поиск_расходки[Индекс7],0)),"")</f>
        <v/>
      </c>
      <c r="Y34" s="114" t="str">
        <f>IFERROR(INDEX(Расходка[Наименование расходного материала],MATCH(Расходка[[#This Row],[№]],Поиск_расходки[Индекс8],0)),"")</f>
        <v/>
      </c>
      <c r="Z34" s="114" t="str">
        <f>IFERROR(INDEX(Расходка[Наименование расходного материала],MATCH(Расходка[[#This Row],[№]],Поиск_расходки[Индекс9],0)),"")</f>
        <v>Asahi Gaia Third</v>
      </c>
      <c r="AA34" s="114" t="str">
        <f>IFERROR(INDEX(Расходка[Наименование расходного материала],MATCH(Расходка[[#This Row],[№]],Поиск_расходки[Индекс10],0)),"")</f>
        <v>Asahi Gaia Third</v>
      </c>
      <c r="AB34" s="114" t="str">
        <f>IFERROR(INDEX(Расходка[Наименование расходного материала],MATCH(Расходка[[#This Row],[№]],Поиск_расходки[Индекс11],0)),"")</f>
        <v>Asahi Gaia Third</v>
      </c>
      <c r="AC34" s="114" t="str">
        <f>IFERROR(INDEX(Расходка[Наименование расходного материала],MATCH(Расходка[[#This Row],[№]],Поиск_расходки[Индекс12],0)),"")</f>
        <v>Asahi Gaia Third</v>
      </c>
      <c r="AD34" s="114" t="str">
        <f>IFERROR(INDEX(Расходка[Наименование расходного материала],MATCH(Расходка[[#This Row],[№]],Поиск_расходки[Индекс13],0)),"")</f>
        <v>Asahi Gaia Third</v>
      </c>
      <c r="AF34" s="4" t="s">
        <v>5</v>
      </c>
      <c r="AG34" s="4" t="s">
        <v>430</v>
      </c>
    </row>
    <row r="35" spans="1:33">
      <c r="A35">
        <f>ROW(Расходка[[#This Row],[Тип расходного материала ]])-1</f>
        <v>34</v>
      </c>
      <c r="B35" t="s">
        <v>3</v>
      </c>
      <c r="C35" s="1" t="s">
        <v>321</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0</v>
      </c>
      <c r="H35" s="115">
        <f>IF(ISNUMBER(SEARCH('Карта учёта'!$B$16,Расходка[[#This Row],[Наименование расходного материала]])),MAX($H$1:H34)+1,0)</f>
        <v>0</v>
      </c>
      <c r="I35" s="115">
        <f>IF(ISNUMBER(SEARCH('Карта учёта'!$B$17,Расходка[[#This Row],[Наименование расходного материала]])),MAX($I$1:I34)+1,0)</f>
        <v>0</v>
      </c>
      <c r="J35" s="115">
        <f>IF(ISNUMBER(SEARCH('Карта учёта'!$B$18,Расходка[[#This Row],[Наименование расходного материала]])),MAX($J$1:J34)+1,0)</f>
        <v>0</v>
      </c>
      <c r="K35" s="115">
        <f>IF(ISNUMBER(SEARCH('Карта учёта'!$B$19,Расходка[[#This Row],[Наименование расходного материала]])),MAX($K$1:K34)+1,0)</f>
        <v>0</v>
      </c>
      <c r="L35" s="115">
        <f>IF(ISNUMBER(SEARCH('Карта учёта'!$B$20,Расходка[[#This Row],[Наименование расходного материала]])),MAX($L$1:L34)+1,0)</f>
        <v>0</v>
      </c>
      <c r="M35" s="115">
        <f>IF(ISNUMBER(SEARCH('Карта учёта'!$B$21,Расходка[[#This Row],[Наименование расходного материала]])),MAX($M$1:M34)+1,0)</f>
        <v>34</v>
      </c>
      <c r="N35" s="115">
        <f>IF(ISNUMBER(SEARCH('Карта учёта'!$B$22,Расходка[[#This Row],[Наименование расходного материала]])),MAX($N$1:N34)+1,0)</f>
        <v>34</v>
      </c>
      <c r="O35" s="115">
        <f>IF(ISNUMBER(SEARCH('Карта учёта'!$B$23,Расходка[[#This Row],[Наименование расходного материала]])),MAX($O$1:O34)+1,0)</f>
        <v>34</v>
      </c>
      <c r="P35" s="115">
        <f>IF(ISNUMBER(SEARCH('Карта учёта'!$B$24,Расходка[[#This Row],[Наименование расходного материала]])),MAX($P$1:P34)+1,0)</f>
        <v>34</v>
      </c>
      <c r="Q35" s="115">
        <f>IF(ISNUMBER(SEARCH('Карта учёта'!$B$25,Расходка[[#This Row],[Наименование расходного материала]])),MAX($Q$1:Q34)+1,0)</f>
        <v>34</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
      </c>
      <c r="U35" s="114" t="str">
        <f>IFERROR(INDEX(Расходка[Наименование расходного материала],MATCH(Расходка[[#This Row],[№]],Поиск_расходки[Индекс4],0)),"")</f>
        <v/>
      </c>
      <c r="V35" s="114" t="str">
        <f>IFERROR(INDEX(Расходка[Наименование расходного материала],MATCH(Расходка[[#This Row],[№]],Поиск_расходки[Индекс5],0)),"")</f>
        <v/>
      </c>
      <c r="W35" s="114" t="str">
        <f>IFERROR(INDEX(Расходка[Наименование расходного материала],MATCH(Расходка[[#This Row],[№]],Поиск_расходки[Индекс6],0)),"")</f>
        <v/>
      </c>
      <c r="X35" s="114" t="str">
        <f>IFERROR(INDEX(Расходка[Наименование расходного материала],MATCH(Расходка[[#This Row],[№]],Поиск_расходки[Индекс7],0)),"")</f>
        <v/>
      </c>
      <c r="Y35" s="114" t="str">
        <f>IFERROR(INDEX(Расходка[Наименование расходного материала],MATCH(Расходка[[#This Row],[№]],Поиск_расходки[Индекс8],0)),"")</f>
        <v/>
      </c>
      <c r="Z35" s="114" t="str">
        <f>IFERROR(INDEX(Расходка[Наименование расходного материала],MATCH(Расходка[[#This Row],[№]],Поиск_расходки[Индекс9],0)),"")</f>
        <v>Intuition</v>
      </c>
      <c r="AA35" s="114" t="str">
        <f>IFERROR(INDEX(Расходка[Наименование расходного материала],MATCH(Расходка[[#This Row],[№]],Поиск_расходки[Индекс10],0)),"")</f>
        <v>Intuition</v>
      </c>
      <c r="AB35" s="114" t="str">
        <f>IFERROR(INDEX(Расходка[Наименование расходного материала],MATCH(Расходка[[#This Row],[№]],Поиск_расходки[Индекс11],0)),"")</f>
        <v>Intuition</v>
      </c>
      <c r="AC35" s="114" t="str">
        <f>IFERROR(INDEX(Расходка[Наименование расходного материала],MATCH(Расходка[[#This Row],[№]],Поиск_расходки[Индекс12],0)),"")</f>
        <v>Intuition</v>
      </c>
      <c r="AD35" s="114" t="str">
        <f>IFERROR(INDEX(Расходка[Наименование расходного материала],MATCH(Расходка[[#This Row],[№]],Поиск_расходки[Индекс13],0)),"")</f>
        <v>Intuition</v>
      </c>
      <c r="AF35" s="4" t="s">
        <v>5</v>
      </c>
      <c r="AG35" s="4" t="s">
        <v>489</v>
      </c>
    </row>
    <row r="36" spans="1:33">
      <c r="A36">
        <f>ROW(Расходка[[#This Row],[Тип расходного материала ]])-1</f>
        <v>35</v>
      </c>
      <c r="B36" t="s">
        <v>3</v>
      </c>
      <c r="C36" t="s">
        <v>317</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0</v>
      </c>
      <c r="H36" s="115">
        <f>IF(ISNUMBER(SEARCH('Карта учёта'!$B$16,Расходка[[#This Row],[Наименование расходного материала]])),MAX($H$1:H35)+1,0)</f>
        <v>0</v>
      </c>
      <c r="I36" s="115">
        <f>IF(ISNUMBER(SEARCH('Карта учёта'!$B$17,Расходка[[#This Row],[Наименование расходного материала]])),MAX($I$1:I35)+1,0)</f>
        <v>0</v>
      </c>
      <c r="J36" s="115">
        <f>IF(ISNUMBER(SEARCH('Карта учёта'!$B$18,Расходка[[#This Row],[Наименование расходного материала]])),MAX($J$1:J35)+1,0)</f>
        <v>0</v>
      </c>
      <c r="K36" s="115">
        <f>IF(ISNUMBER(SEARCH('Карта учёта'!$B$19,Расходка[[#This Row],[Наименование расходного материала]])),MAX($K$1:K35)+1,0)</f>
        <v>0</v>
      </c>
      <c r="L36" s="115">
        <f>IF(ISNUMBER(SEARCH('Карта учёта'!$B$20,Расходка[[#This Row],[Наименование расходного материала]])),MAX($L$1:L35)+1,0)</f>
        <v>0</v>
      </c>
      <c r="M36" s="115">
        <f>IF(ISNUMBER(SEARCH('Карта учёта'!$B$21,Расходка[[#This Row],[Наименование расходного материала]])),MAX($M$1:M35)+1,0)</f>
        <v>35</v>
      </c>
      <c r="N36" s="115">
        <f>IF(ISNUMBER(SEARCH('Карта учёта'!$B$22,Расходка[[#This Row],[Наименование расходного материала]])),MAX($N$1:N35)+1,0)</f>
        <v>35</v>
      </c>
      <c r="O36" s="115">
        <f>IF(ISNUMBER(SEARCH('Карта учёта'!$B$23,Расходка[[#This Row],[Наименование расходного материала]])),MAX($O$1:O35)+1,0)</f>
        <v>35</v>
      </c>
      <c r="P36" s="115">
        <f>IF(ISNUMBER(SEARCH('Карта учёта'!$B$24,Расходка[[#This Row],[Наименование расходного материала]])),MAX($P$1:P35)+1,0)</f>
        <v>35</v>
      </c>
      <c r="Q36" s="115">
        <f>IF(ISNUMBER(SEARCH('Карта учёта'!$B$25,Расходка[[#This Row],[Наименование расходного материала]])),MAX($Q$1:Q35)+1,0)</f>
        <v>35</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
      </c>
      <c r="U36" s="114" t="str">
        <f>IFERROR(INDEX(Расходка[Наименование расходного материала],MATCH(Расходка[[#This Row],[№]],Поиск_расходки[Индекс4],0)),"")</f>
        <v/>
      </c>
      <c r="V36" s="114" t="str">
        <f>IFERROR(INDEX(Расходка[Наименование расходного материала],MATCH(Расходка[[#This Row],[№]],Поиск_расходки[Индекс5],0)),"")</f>
        <v/>
      </c>
      <c r="W36" s="114" t="str">
        <f>IFERROR(INDEX(Расходка[Наименование расходного материала],MATCH(Расходка[[#This Row],[№]],Поиск_расходки[Индекс6],0)),"")</f>
        <v/>
      </c>
      <c r="X36" s="114" t="str">
        <f>IFERROR(INDEX(Расходка[Наименование расходного материала],MATCH(Расходка[[#This Row],[№]],Поиск_расходки[Индекс7],0)),"")</f>
        <v/>
      </c>
      <c r="Y36" s="114" t="str">
        <f>IFERROR(INDEX(Расходка[Наименование расходного материала],MATCH(Расходка[[#This Row],[№]],Поиск_расходки[Индекс8],0)),"")</f>
        <v/>
      </c>
      <c r="Z36" s="114" t="str">
        <f>IFERROR(INDEX(Расходка[Наименование расходного материала],MATCH(Расходка[[#This Row],[№]],Поиск_расходки[Индекс9],0)),"")</f>
        <v>ProVia 3 Hydro-Track®</v>
      </c>
      <c r="AA36" s="114" t="str">
        <f>IFERROR(INDEX(Расходка[Наименование расходного материала],MATCH(Расходка[[#This Row],[№]],Поиск_расходки[Индекс10],0)),"")</f>
        <v>ProVia 3 Hydro-Track®</v>
      </c>
      <c r="AB36" s="114" t="str">
        <f>IFERROR(INDEX(Расходка[Наименование расходного материала],MATCH(Расходка[[#This Row],[№]],Поиск_расходки[Индекс11],0)),"")</f>
        <v>ProVia 3 Hydro-Track®</v>
      </c>
      <c r="AC36" s="114" t="str">
        <f>IFERROR(INDEX(Расходка[Наименование расходного материала],MATCH(Расходка[[#This Row],[№]],Поиск_расходки[Индекс12],0)),"")</f>
        <v>ProVia 3 Hydro-Track®</v>
      </c>
      <c r="AD36" s="114" t="str">
        <f>IFERROR(INDEX(Расходка[Наименование расходного материала],MATCH(Расходка[[#This Row],[№]],Поиск_расходки[Индекс13],0)),"")</f>
        <v>ProVia 3 Hydro-Track®</v>
      </c>
      <c r="AF36" s="4" t="s">
        <v>5</v>
      </c>
      <c r="AG36" s="4" t="s">
        <v>431</v>
      </c>
    </row>
    <row r="37" spans="1:33">
      <c r="A37">
        <f>ROW(Расходка[[#This Row],[Тип расходного материала ]])-1</f>
        <v>36</v>
      </c>
      <c r="B37" t="s">
        <v>3</v>
      </c>
      <c r="C37" t="s">
        <v>318</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0</v>
      </c>
      <c r="H37" s="115">
        <f>IF(ISNUMBER(SEARCH('Карта учёта'!$B$16,Расходка[[#This Row],[Наименование расходного материала]])),MAX($H$1:H36)+1,0)</f>
        <v>0</v>
      </c>
      <c r="I37" s="115">
        <f>IF(ISNUMBER(SEARCH('Карта учёта'!$B$17,Расходка[[#This Row],[Наименование расходного материала]])),MAX($I$1:I36)+1,0)</f>
        <v>0</v>
      </c>
      <c r="J37" s="115">
        <f>IF(ISNUMBER(SEARCH('Карта учёта'!$B$18,Расходка[[#This Row],[Наименование расходного материала]])),MAX($J$1:J36)+1,0)</f>
        <v>0</v>
      </c>
      <c r="K37" s="115">
        <f>IF(ISNUMBER(SEARCH('Карта учёта'!$B$19,Расходка[[#This Row],[Наименование расходного материала]])),MAX($K$1:K36)+1,0)</f>
        <v>0</v>
      </c>
      <c r="L37" s="115">
        <f>IF(ISNUMBER(SEARCH('Карта учёта'!$B$20,Расходка[[#This Row],[Наименование расходного материала]])),MAX($L$1:L36)+1,0)</f>
        <v>0</v>
      </c>
      <c r="M37" s="115">
        <f>IF(ISNUMBER(SEARCH('Карта учёта'!$B$21,Расходка[[#This Row],[Наименование расходного материала]])),MAX($M$1:M36)+1,0)</f>
        <v>36</v>
      </c>
      <c r="N37" s="115">
        <f>IF(ISNUMBER(SEARCH('Карта учёта'!$B$22,Расходка[[#This Row],[Наименование расходного материала]])),MAX($N$1:N36)+1,0)</f>
        <v>36</v>
      </c>
      <c r="O37" s="115">
        <f>IF(ISNUMBER(SEARCH('Карта учёта'!$B$23,Расходка[[#This Row],[Наименование расходного материала]])),MAX($O$1:O36)+1,0)</f>
        <v>36</v>
      </c>
      <c r="P37" s="115">
        <f>IF(ISNUMBER(SEARCH('Карта учёта'!$B$24,Расходка[[#This Row],[Наименование расходного материала]])),MAX($P$1:P36)+1,0)</f>
        <v>36</v>
      </c>
      <c r="Q37" s="115">
        <f>IF(ISNUMBER(SEARCH('Карта учёта'!$B$25,Расходка[[#This Row],[Наименование расходного материала]])),MAX($Q$1:Q36)+1,0)</f>
        <v>36</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
      </c>
      <c r="U37" s="114" t="str">
        <f>IFERROR(INDEX(Расходка[Наименование расходного материала],MATCH(Расходка[[#This Row],[№]],Поиск_расходки[Индекс4],0)),"")</f>
        <v/>
      </c>
      <c r="V37" s="114" t="str">
        <f>IFERROR(INDEX(Расходка[Наименование расходного материала],MATCH(Расходка[[#This Row],[№]],Поиск_расходки[Индекс5],0)),"")</f>
        <v/>
      </c>
      <c r="W37" s="114" t="str">
        <f>IFERROR(INDEX(Расходка[Наименование расходного материала],MATCH(Расходка[[#This Row],[№]],Поиск_расходки[Индекс6],0)),"")</f>
        <v/>
      </c>
      <c r="X37" s="114" t="str">
        <f>IFERROR(INDEX(Расходка[Наименование расходного материала],MATCH(Расходка[[#This Row],[№]],Поиск_расходки[Индекс7],0)),"")</f>
        <v/>
      </c>
      <c r="Y37" s="114" t="str">
        <f>IFERROR(INDEX(Расходка[Наименование расходного материала],MATCH(Расходка[[#This Row],[№]],Поиск_расходки[Индекс8],0)),"")</f>
        <v/>
      </c>
      <c r="Z37" s="114" t="str">
        <f>IFERROR(INDEX(Расходка[Наименование расходного материала],MATCH(Расходка[[#This Row],[№]],Поиск_расходки[Индекс9],0)),"")</f>
        <v>ProVia 6 Hydro-Track®</v>
      </c>
      <c r="AA37" s="114" t="str">
        <f>IFERROR(INDEX(Расходка[Наименование расходного материала],MATCH(Расходка[[#This Row],[№]],Поиск_расходки[Индекс10],0)),"")</f>
        <v>ProVia 6 Hydro-Track®</v>
      </c>
      <c r="AB37" s="114" t="str">
        <f>IFERROR(INDEX(Расходка[Наименование расходного материала],MATCH(Расходка[[#This Row],[№]],Поиск_расходки[Индекс11],0)),"")</f>
        <v>ProVia 6 Hydro-Track®</v>
      </c>
      <c r="AC37" s="114" t="str">
        <f>IFERROR(INDEX(Расходка[Наименование расходного материала],MATCH(Расходка[[#This Row],[№]],Поиск_расходки[Индекс12],0)),"")</f>
        <v>ProVia 6 Hydro-Track®</v>
      </c>
      <c r="AD37" s="114" t="str">
        <f>IFERROR(INDEX(Расходка[Наименование расходного материала],MATCH(Расходка[[#This Row],[№]],Поиск_расходки[Индекс13],0)),"")</f>
        <v>ProVia 6 Hydro-Track®</v>
      </c>
      <c r="AF37" s="4" t="s">
        <v>6</v>
      </c>
      <c r="AG37" s="4" t="s">
        <v>404</v>
      </c>
    </row>
    <row r="38" spans="1:33">
      <c r="A38">
        <f>ROW(Расходка[[#This Row],[Тип расходного материала ]])-1</f>
        <v>37</v>
      </c>
      <c r="B38" t="s">
        <v>3</v>
      </c>
      <c r="C38" t="s">
        <v>319</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0</v>
      </c>
      <c r="H38" s="115">
        <f>IF(ISNUMBER(SEARCH('Карта учёта'!$B$16,Расходка[[#This Row],[Наименование расходного материала]])),MAX($H$1:H37)+1,0)</f>
        <v>0</v>
      </c>
      <c r="I38" s="115">
        <f>IF(ISNUMBER(SEARCH('Карта учёта'!$B$17,Расходка[[#This Row],[Наименование расходного материала]])),MAX($I$1:I37)+1,0)</f>
        <v>0</v>
      </c>
      <c r="J38" s="115">
        <f>IF(ISNUMBER(SEARCH('Карта учёта'!$B$18,Расходка[[#This Row],[Наименование расходного материала]])),MAX($J$1:J37)+1,0)</f>
        <v>0</v>
      </c>
      <c r="K38" s="115">
        <f>IF(ISNUMBER(SEARCH('Карта учёта'!$B$19,Расходка[[#This Row],[Наименование расходного материала]])),MAX($K$1:K37)+1,0)</f>
        <v>0</v>
      </c>
      <c r="L38" s="115">
        <f>IF(ISNUMBER(SEARCH('Карта учёта'!$B$20,Расходка[[#This Row],[Наименование расходного материала]])),MAX($L$1:L37)+1,0)</f>
        <v>0</v>
      </c>
      <c r="M38" s="115">
        <f>IF(ISNUMBER(SEARCH('Карта учёта'!$B$21,Расходка[[#This Row],[Наименование расходного материала]])),MAX($M$1:M37)+1,0)</f>
        <v>37</v>
      </c>
      <c r="N38" s="115">
        <f>IF(ISNUMBER(SEARCH('Карта учёта'!$B$22,Расходка[[#This Row],[Наименование расходного материала]])),MAX($N$1:N37)+1,0)</f>
        <v>37</v>
      </c>
      <c r="O38" s="115">
        <f>IF(ISNUMBER(SEARCH('Карта учёта'!$B$23,Расходка[[#This Row],[Наименование расходного материала]])),MAX($O$1:O37)+1,0)</f>
        <v>37</v>
      </c>
      <c r="P38" s="115">
        <f>IF(ISNUMBER(SEARCH('Карта учёта'!$B$24,Расходка[[#This Row],[Наименование расходного материала]])),MAX($P$1:P37)+1,0)</f>
        <v>37</v>
      </c>
      <c r="Q38" s="115">
        <f>IF(ISNUMBER(SEARCH('Карта учёта'!$B$25,Расходка[[#This Row],[Наименование расходного материала]])),MAX($Q$1:Q37)+1,0)</f>
        <v>37</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
      </c>
      <c r="U38" s="114" t="str">
        <f>IFERROR(INDEX(Расходка[Наименование расходного материала],MATCH(Расходка[[#This Row],[№]],Поиск_расходки[Индекс4],0)),"")</f>
        <v/>
      </c>
      <c r="V38" s="114" t="str">
        <f>IFERROR(INDEX(Расходка[Наименование расходного материала],MATCH(Расходка[[#This Row],[№]],Поиск_расходки[Индекс5],0)),"")</f>
        <v/>
      </c>
      <c r="W38" s="114" t="str">
        <f>IFERROR(INDEX(Расходка[Наименование расходного материала],MATCH(Расходка[[#This Row],[№]],Поиск_расходки[Индекс6],0)),"")</f>
        <v/>
      </c>
      <c r="X38" s="114" t="str">
        <f>IFERROR(INDEX(Расходка[Наименование расходного материала],MATCH(Расходка[[#This Row],[№]],Поиск_расходки[Индекс7],0)),"")</f>
        <v/>
      </c>
      <c r="Y38" s="114" t="str">
        <f>IFERROR(INDEX(Расходка[Наименование расходного материала],MATCH(Расходка[[#This Row],[№]],Поиск_расходки[Индекс8],0)),"")</f>
        <v/>
      </c>
      <c r="Z38" s="114" t="str">
        <f>IFERROR(INDEX(Расходка[Наименование расходного материала],MATCH(Расходка[[#This Row],[№]],Поиск_расходки[Индекс9],0)),"")</f>
        <v>ProVia 9 Hydro-Track®</v>
      </c>
      <c r="AA38" s="114" t="str">
        <f>IFERROR(INDEX(Расходка[Наименование расходного материала],MATCH(Расходка[[#This Row],[№]],Поиск_расходки[Индекс10],0)),"")</f>
        <v>ProVia 9 Hydro-Track®</v>
      </c>
      <c r="AB38" s="114" t="str">
        <f>IFERROR(INDEX(Расходка[Наименование расходного материала],MATCH(Расходка[[#This Row],[№]],Поиск_расходки[Индекс11],0)),"")</f>
        <v>ProVia 9 Hydro-Track®</v>
      </c>
      <c r="AC38" s="114" t="str">
        <f>IFERROR(INDEX(Расходка[Наименование расходного материала],MATCH(Расходка[[#This Row],[№]],Поиск_расходки[Индекс12],0)),"")</f>
        <v>ProVia 9 Hydro-Track®</v>
      </c>
      <c r="AD38" s="114" t="str">
        <f>IFERROR(INDEX(Расходка[Наименование расходного материала],MATCH(Расходка[[#This Row],[№]],Поиск_расходки[Индекс13],0)),"")</f>
        <v>ProVia 9 Hydro-Track®</v>
      </c>
      <c r="AF38" s="4" t="s">
        <v>6</v>
      </c>
      <c r="AG38" s="4" t="s">
        <v>491</v>
      </c>
    </row>
    <row r="39" spans="1:33">
      <c r="A39">
        <f>ROW(Расходка[[#This Row],[Тип расходного материала ]])-1</f>
        <v>38</v>
      </c>
      <c r="B39" t="s">
        <v>3</v>
      </c>
      <c r="C39" t="s">
        <v>315</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0</v>
      </c>
      <c r="H39" s="115">
        <f>IF(ISNUMBER(SEARCH('Карта учёта'!$B$16,Расходка[[#This Row],[Наименование расходного материала]])),MAX($H$1:H38)+1,0)</f>
        <v>0</v>
      </c>
      <c r="I39" s="115">
        <f>IF(ISNUMBER(SEARCH('Карта учёта'!$B$17,Расходка[[#This Row],[Наименование расходного материала]])),MAX($I$1:I38)+1,0)</f>
        <v>0</v>
      </c>
      <c r="J39" s="115">
        <f>IF(ISNUMBER(SEARCH('Карта учёта'!$B$18,Расходка[[#This Row],[Наименование расходного материала]])),MAX($J$1:J38)+1,0)</f>
        <v>0</v>
      </c>
      <c r="K39" s="115">
        <f>IF(ISNUMBER(SEARCH('Карта учёта'!$B$19,Расходка[[#This Row],[Наименование расходного материала]])),MAX($K$1:K38)+1,0)</f>
        <v>0</v>
      </c>
      <c r="L39" s="115">
        <f>IF(ISNUMBER(SEARCH('Карта учёта'!$B$20,Расходка[[#This Row],[Наименование расходного материала]])),MAX($L$1:L38)+1,0)</f>
        <v>0</v>
      </c>
      <c r="M39" s="115">
        <f>IF(ISNUMBER(SEARCH('Карта учёта'!$B$21,Расходка[[#This Row],[Наименование расходного материала]])),MAX($M$1:M38)+1,0)</f>
        <v>38</v>
      </c>
      <c r="N39" s="115">
        <f>IF(ISNUMBER(SEARCH('Карта учёта'!$B$22,Расходка[[#This Row],[Наименование расходного материала]])),MAX($N$1:N38)+1,0)</f>
        <v>38</v>
      </c>
      <c r="O39" s="115">
        <f>IF(ISNUMBER(SEARCH('Карта учёта'!$B$23,Расходка[[#This Row],[Наименование расходного материала]])),MAX($O$1:O38)+1,0)</f>
        <v>38</v>
      </c>
      <c r="P39" s="115">
        <f>IF(ISNUMBER(SEARCH('Карта учёта'!$B$24,Расходка[[#This Row],[Наименование расходного материала]])),MAX($P$1:P38)+1,0)</f>
        <v>38</v>
      </c>
      <c r="Q39" s="115">
        <f>IF(ISNUMBER(SEARCH('Карта учёта'!$B$25,Расходка[[#This Row],[Наименование расходного материала]])),MAX($Q$1:Q38)+1,0)</f>
        <v>38</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
      </c>
      <c r="U39" s="114" t="str">
        <f>IFERROR(INDEX(Расходка[Наименование расходного материала],MATCH(Расходка[[#This Row],[№]],Поиск_расходки[Индекс4],0)),"")</f>
        <v/>
      </c>
      <c r="V39" s="114" t="str">
        <f>IFERROR(INDEX(Расходка[Наименование расходного материала],MATCH(Расходка[[#This Row],[№]],Поиск_расходки[Индекс5],0)),"")</f>
        <v/>
      </c>
      <c r="W39" s="114" t="str">
        <f>IFERROR(INDEX(Расходка[Наименование расходного материала],MATCH(Расходка[[#This Row],[№]],Поиск_расходки[Индекс6],0)),"")</f>
        <v/>
      </c>
      <c r="X39" s="114" t="str">
        <f>IFERROR(INDEX(Расходка[Наименование расходного материала],MATCH(Расходка[[#This Row],[№]],Поиск_расходки[Индекс7],0)),"")</f>
        <v/>
      </c>
      <c r="Y39" s="114" t="str">
        <f>IFERROR(INDEX(Расходка[Наименование расходного материала],MATCH(Расходка[[#This Row],[№]],Поиск_расходки[Индекс8],0)),"")</f>
        <v/>
      </c>
      <c r="Z39" s="114" t="str">
        <f>IFERROR(INDEX(Расходка[Наименование расходного материала],MATCH(Расходка[[#This Row],[№]],Поиск_расходки[Индекс9],0)),"")</f>
        <v>Rinato</v>
      </c>
      <c r="AA39" s="114" t="str">
        <f>IFERROR(INDEX(Расходка[Наименование расходного материала],MATCH(Расходка[[#This Row],[№]],Поиск_расходки[Индекс10],0)),"")</f>
        <v>Rinato</v>
      </c>
      <c r="AB39" s="114" t="str">
        <f>IFERROR(INDEX(Расходка[Наименование расходного материала],MATCH(Расходка[[#This Row],[№]],Поиск_расходки[Индекс11],0)),"")</f>
        <v>Rinato</v>
      </c>
      <c r="AC39" s="114" t="str">
        <f>IFERROR(INDEX(Расходка[Наименование расходного материала],MATCH(Расходка[[#This Row],[№]],Поиск_расходки[Индекс12],0)),"")</f>
        <v>Rinato</v>
      </c>
      <c r="AD39" s="114" t="str">
        <f>IFERROR(INDEX(Расходка[Наименование расходного материала],MATCH(Расходка[[#This Row],[№]],Поиск_расходки[Индекс13],0)),"")</f>
        <v>Rinato</v>
      </c>
      <c r="AF39" s="4" t="s">
        <v>6</v>
      </c>
      <c r="AG39" s="4" t="s">
        <v>432</v>
      </c>
    </row>
    <row r="40" spans="1:33">
      <c r="A40">
        <f>ROW(Расходка[[#This Row],[Тип расходного материала ]])-1</f>
        <v>39</v>
      </c>
      <c r="B40" t="s">
        <v>3</v>
      </c>
      <c r="C40" s="1" t="s">
        <v>352</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0</v>
      </c>
      <c r="H40" s="115">
        <f>IF(ISNUMBER(SEARCH('Карта учёта'!$B$16,Расходка[[#This Row],[Наименование расходного материала]])),MAX($H$1:H39)+1,0)</f>
        <v>0</v>
      </c>
      <c r="I40" s="115">
        <f>IF(ISNUMBER(SEARCH('Карта учёта'!$B$17,Расходка[[#This Row],[Наименование расходного материала]])),MAX($I$1:I39)+1,0)</f>
        <v>0</v>
      </c>
      <c r="J40" s="115">
        <f>IF(ISNUMBER(SEARCH('Карта учёта'!$B$18,Расходка[[#This Row],[Наименование расходного материала]])),MAX($J$1:J39)+1,0)</f>
        <v>0</v>
      </c>
      <c r="K40" s="115">
        <f>IF(ISNUMBER(SEARCH('Карта учёта'!$B$19,Расходка[[#This Row],[Наименование расходного материала]])),MAX($K$1:K39)+1,0)</f>
        <v>0</v>
      </c>
      <c r="L40" s="115">
        <f>IF(ISNUMBER(SEARCH('Карта учёта'!$B$20,Расходка[[#This Row],[Наименование расходного материала]])),MAX($L$1:L39)+1,0)</f>
        <v>0</v>
      </c>
      <c r="M40" s="115">
        <f>IF(ISNUMBER(SEARCH('Карта учёта'!$B$21,Расходка[[#This Row],[Наименование расходного материала]])),MAX($M$1:M39)+1,0)</f>
        <v>39</v>
      </c>
      <c r="N40" s="115">
        <f>IF(ISNUMBER(SEARCH('Карта учёта'!$B$22,Расходка[[#This Row],[Наименование расходного материала]])),MAX($N$1:N39)+1,0)</f>
        <v>39</v>
      </c>
      <c r="O40" s="115">
        <f>IF(ISNUMBER(SEARCH('Карта учёта'!$B$23,Расходка[[#This Row],[Наименование расходного материала]])),MAX($O$1:O39)+1,0)</f>
        <v>39</v>
      </c>
      <c r="P40" s="115">
        <f>IF(ISNUMBER(SEARCH('Карта учёта'!$B$24,Расходка[[#This Row],[Наименование расходного материала]])),MAX($P$1:P39)+1,0)</f>
        <v>39</v>
      </c>
      <c r="Q40" s="115">
        <f>IF(ISNUMBER(SEARCH('Карта учёта'!$B$25,Расходка[[#This Row],[Наименование расходного материала]])),MAX($Q$1:Q39)+1,0)</f>
        <v>39</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
      </c>
      <c r="U40" s="114" t="str">
        <f>IFERROR(INDEX(Расходка[Наименование расходного материала],MATCH(Расходка[[#This Row],[№]],Поиск_расходки[Индекс4],0)),"")</f>
        <v/>
      </c>
      <c r="V40" s="114" t="str">
        <f>IFERROR(INDEX(Расходка[Наименование расходного материала],MATCH(Расходка[[#This Row],[№]],Поиск_расходки[Индекс5],0)),"")</f>
        <v/>
      </c>
      <c r="W40" s="114" t="str">
        <f>IFERROR(INDEX(Расходка[Наименование расходного материала],MATCH(Расходка[[#This Row],[№]],Поиск_расходки[Индекс6],0)),"")</f>
        <v/>
      </c>
      <c r="X40" s="114" t="str">
        <f>IFERROR(INDEX(Расходка[Наименование расходного материала],MATCH(Расходка[[#This Row],[№]],Поиск_расходки[Индекс7],0)),"")</f>
        <v/>
      </c>
      <c r="Y40" s="114" t="str">
        <f>IFERROR(INDEX(Расходка[Наименование расходного материала],MATCH(Расходка[[#This Row],[№]],Поиск_расходки[Индекс8],0)),"")</f>
        <v/>
      </c>
      <c r="Z40" s="114" t="str">
        <f>IFERROR(INDEX(Расходка[Наименование расходного материала],MATCH(Расходка[[#This Row],[№]],Поиск_расходки[Индекс9],0)),"")</f>
        <v>Runthrough NS (Floppy)</v>
      </c>
      <c r="AA40" s="114" t="str">
        <f>IFERROR(INDEX(Расходка[Наименование расходного материала],MATCH(Расходка[[#This Row],[№]],Поиск_расходки[Индекс10],0)),"")</f>
        <v>Runthrough NS (Floppy)</v>
      </c>
      <c r="AB40" s="114" t="str">
        <f>IFERROR(INDEX(Расходка[Наименование расходного материала],MATCH(Расходка[[#This Row],[№]],Поиск_расходки[Индекс11],0)),"")</f>
        <v>Runthrough NS (Floppy)</v>
      </c>
      <c r="AC40" s="114" t="str">
        <f>IFERROR(INDEX(Расходка[Наименование расходного материала],MATCH(Расходка[[#This Row],[№]],Поиск_расходки[Индекс12],0)),"")</f>
        <v>Runthrough NS (Floppy)</v>
      </c>
      <c r="AD40" s="114" t="str">
        <f>IFERROR(INDEX(Расходка[Наименование расходного материала],MATCH(Расходка[[#This Row],[№]],Поиск_расходки[Индекс13],0)),"")</f>
        <v>Runthrough NS (Floppy)</v>
      </c>
      <c r="AF40" s="4" t="s">
        <v>6</v>
      </c>
      <c r="AG40" s="4" t="s">
        <v>433</v>
      </c>
    </row>
    <row r="41" spans="1:33">
      <c r="A41">
        <f>ROW(Расходка[[#This Row],[Тип расходного материала ]])-1</f>
        <v>40</v>
      </c>
      <c r="B41" t="s">
        <v>3</v>
      </c>
      <c r="C41" s="1" t="s">
        <v>359</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0</v>
      </c>
      <c r="H41" s="115">
        <f>IF(ISNUMBER(SEARCH('Карта учёта'!$B$16,Расходка[[#This Row],[Наименование расходного материала]])),MAX($H$1:H40)+1,0)</f>
        <v>0</v>
      </c>
      <c r="I41" s="115">
        <f>IF(ISNUMBER(SEARCH('Карта учёта'!$B$17,Расходка[[#This Row],[Наименование расходного материала]])),MAX($I$1:I40)+1,0)</f>
        <v>0</v>
      </c>
      <c r="J41" s="115">
        <f>IF(ISNUMBER(SEARCH('Карта учёта'!$B$18,Расходка[[#This Row],[Наименование расходного материала]])),MAX($J$1:J40)+1,0)</f>
        <v>0</v>
      </c>
      <c r="K41" s="115">
        <f>IF(ISNUMBER(SEARCH('Карта учёта'!$B$19,Расходка[[#This Row],[Наименование расходного материала]])),MAX($K$1:K40)+1,0)</f>
        <v>0</v>
      </c>
      <c r="L41" s="115">
        <f>IF(ISNUMBER(SEARCH('Карта учёта'!$B$20,Расходка[[#This Row],[Наименование расходного материала]])),MAX($L$1:L40)+1,0)</f>
        <v>0</v>
      </c>
      <c r="M41" s="115">
        <f>IF(ISNUMBER(SEARCH('Карта учёта'!$B$21,Расходка[[#This Row],[Наименование расходного материала]])),MAX($M$1:M40)+1,0)</f>
        <v>40</v>
      </c>
      <c r="N41" s="115">
        <f>IF(ISNUMBER(SEARCH('Карта учёта'!$B$22,Расходка[[#This Row],[Наименование расходного материала]])),MAX($N$1:N40)+1,0)</f>
        <v>40</v>
      </c>
      <c r="O41" s="115">
        <f>IF(ISNUMBER(SEARCH('Карта учёта'!$B$23,Расходка[[#This Row],[Наименование расходного материала]])),MAX($O$1:O40)+1,0)</f>
        <v>40</v>
      </c>
      <c r="P41" s="115">
        <f>IF(ISNUMBER(SEARCH('Карта учёта'!$B$24,Расходка[[#This Row],[Наименование расходного материала]])),MAX($P$1:P40)+1,0)</f>
        <v>40</v>
      </c>
      <c r="Q41" s="115">
        <f>IF(ISNUMBER(SEARCH('Карта учёта'!$B$25,Расходка[[#This Row],[Наименование расходного материала]])),MAX($Q$1:Q40)+1,0)</f>
        <v>40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
      </c>
      <c r="U41" s="114" t="str">
        <f>IFERROR(INDEX(Расходка[Наименование расходного материала],MATCH(Расходка[[#This Row],[№]],Поиск_расходки[Индекс4],0)),"")</f>
        <v/>
      </c>
      <c r="V41" s="114" t="str">
        <f>IFERROR(INDEX(Расходка[Наименование расходного материала],MATCH(Расходка[[#This Row],[№]],Поиск_расходки[Индекс5],0)),"")</f>
        <v/>
      </c>
      <c r="W41" s="114" t="str">
        <f>IFERROR(INDEX(Расходка[Наименование расходного материала],MATCH(Расходка[[#This Row],[№]],Поиск_расходки[Индекс6],0)),"")</f>
        <v/>
      </c>
      <c r="X41" s="114" t="str">
        <f>IFERROR(INDEX(Расходка[Наименование расходного материала],MATCH(Расходка[[#This Row],[№]],Поиск_расходки[Индекс7],0)),"")</f>
        <v/>
      </c>
      <c r="Y41" s="114" t="str">
        <f>IFERROR(INDEX(Расходка[Наименование расходного материала],MATCH(Расходка[[#This Row],[№]],Поиск_расходки[Индекс8],0)),"")</f>
        <v/>
      </c>
      <c r="Z41" s="114" t="str">
        <f>IFERROR(INDEX(Расходка[Наименование расходного материала],MATCH(Расходка[[#This Row],[№]],Поиск_расходки[Индекс9],0)),"")</f>
        <v>Runthrough NS Hypercoat</v>
      </c>
      <c r="AA41" s="114" t="str">
        <f>IFERROR(INDEX(Расходка[Наименование расходного материала],MATCH(Расходка[[#This Row],[№]],Поиск_расходки[Индекс10],0)),"")</f>
        <v>Runthrough NS Hypercoat</v>
      </c>
      <c r="AB41" s="114" t="str">
        <f>IFERROR(INDEX(Расходка[Наименование расходного материала],MATCH(Расходка[[#This Row],[№]],Поиск_расходки[Индекс11],0)),"")</f>
        <v>Runthrough NS Hypercoat</v>
      </c>
      <c r="AC41" s="114" t="str">
        <f>IFERROR(INDEX(Расходка[Наименование расходного материала],MATCH(Расходка[[#This Row],[№]],Поиск_расходки[Индекс12],0)),"")</f>
        <v>Runthrough NS Hypercoat</v>
      </c>
      <c r="AD41" s="114" t="str">
        <f>IFERROR(INDEX(Расходка[Наименование расходного материала],MATCH(Расходка[[#This Row],[№]],Поиск_расходки[Индекс13],0)),"")</f>
        <v>Runthrough NS Hypercoat</v>
      </c>
      <c r="AF41" s="4" t="s">
        <v>6</v>
      </c>
      <c r="AG41" s="4" t="s">
        <v>434</v>
      </c>
    </row>
    <row r="42" spans="1:33">
      <c r="A42">
        <f>ROW(Расходка[[#This Row],[Тип расходного материала ]])-1</f>
        <v>41</v>
      </c>
      <c r="B42" t="s">
        <v>3</v>
      </c>
      <c r="C42" s="1" t="s">
        <v>358</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0</v>
      </c>
      <c r="H42" s="115">
        <f>IF(ISNUMBER(SEARCH('Карта учёта'!$B$16,Расходка[[#This Row],[Наименование расходного материала]])),MAX($H$1:H41)+1,0)</f>
        <v>0</v>
      </c>
      <c r="I42" s="115">
        <f>IF(ISNUMBER(SEARCH('Карта учёта'!$B$17,Расходка[[#This Row],[Наименование расходного материала]])),MAX($I$1:I41)+1,0)</f>
        <v>0</v>
      </c>
      <c r="J42" s="115">
        <f>IF(ISNUMBER(SEARCH('Карта учёта'!$B$18,Расходка[[#This Row],[Наименование расходного материала]])),MAX($J$1:J41)+1,0)</f>
        <v>0</v>
      </c>
      <c r="K42" s="115">
        <f>IF(ISNUMBER(SEARCH('Карта учёта'!$B$19,Расходка[[#This Row],[Наименование расходного материала]])),MAX($K$1:K41)+1,0)</f>
        <v>0</v>
      </c>
      <c r="L42" s="115">
        <f>IF(ISNUMBER(SEARCH('Карта учёта'!$B$20,Расходка[[#This Row],[Наименование расходного материала]])),MAX($L$1:L41)+1,0)</f>
        <v>0</v>
      </c>
      <c r="M42" s="115">
        <f>IF(ISNUMBER(SEARCH('Карта учёта'!$B$21,Расходка[[#This Row],[Наименование расходного материала]])),MAX($M$1:M41)+1,0)</f>
        <v>41</v>
      </c>
      <c r="N42" s="115">
        <f>IF(ISNUMBER(SEARCH('Карта учёта'!$B$22,Расходка[[#This Row],[Наименование расходного материала]])),MAX($N$1:N41)+1,0)</f>
        <v>41</v>
      </c>
      <c r="O42" s="115">
        <f>IF(ISNUMBER(SEARCH('Карта учёта'!$B$23,Расходка[[#This Row],[Наименование расходного материала]])),MAX($O$1:O41)+1,0)</f>
        <v>41</v>
      </c>
      <c r="P42" s="115">
        <f>IF(ISNUMBER(SEARCH('Карта учёта'!$B$24,Расходка[[#This Row],[Наименование расходного материала]])),MAX($P$1:P41)+1,0)</f>
        <v>41</v>
      </c>
      <c r="Q42" s="115">
        <f>IF(ISNUMBER(SEARCH('Карта учёта'!$B$25,Расходка[[#This Row],[Наименование расходного материала]])),MAX($Q$1:Q41)+1,0)</f>
        <v>41</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
      </c>
      <c r="U42" s="114" t="str">
        <f>IFERROR(INDEX(Расходка[Наименование расходного материала],MATCH(Расходка[[#This Row],[№]],Поиск_расходки[Индекс4],0)),"")</f>
        <v/>
      </c>
      <c r="V42" s="114" t="str">
        <f>IFERROR(INDEX(Расходка[Наименование расходного материала],MATCH(Расходка[[#This Row],[№]],Поиск_расходки[Индекс5],0)),"")</f>
        <v/>
      </c>
      <c r="W42" s="114" t="str">
        <f>IFERROR(INDEX(Расходка[Наименование расходного материала],MATCH(Расходка[[#This Row],[№]],Поиск_расходки[Индекс6],0)),"")</f>
        <v/>
      </c>
      <c r="X42" s="114" t="str">
        <f>IFERROR(INDEX(Расходка[Наименование расходного материала],MATCH(Расходка[[#This Row],[№]],Поиск_расходки[Индекс7],0)),"")</f>
        <v/>
      </c>
      <c r="Y42" s="114" t="str">
        <f>IFERROR(INDEX(Расходка[Наименование расходного материала],MATCH(Расходка[[#This Row],[№]],Поиск_расходки[Индекс8],0)),"")</f>
        <v/>
      </c>
      <c r="Z42" s="114" t="str">
        <f>IFERROR(INDEX(Расходка[Наименование расходного материала],MATCH(Расходка[[#This Row],[№]],Поиск_расходки[Индекс9],0)),"")</f>
        <v>Runthrough NS Intermediate</v>
      </c>
      <c r="AA42" s="114" t="str">
        <f>IFERROR(INDEX(Расходка[Наименование расходного материала],MATCH(Расходка[[#This Row],[№]],Поиск_расходки[Индекс10],0)),"")</f>
        <v>Runthrough NS Intermediate</v>
      </c>
      <c r="AB42" s="114" t="str">
        <f>IFERROR(INDEX(Расходка[Наименование расходного материала],MATCH(Расходка[[#This Row],[№]],Поиск_расходки[Индекс11],0)),"")</f>
        <v>Runthrough NS Intermediate</v>
      </c>
      <c r="AC42" s="114" t="str">
        <f>IFERROR(INDEX(Расходка[Наименование расходного материала],MATCH(Расходка[[#This Row],[№]],Поиск_расходки[Индекс12],0)),"")</f>
        <v>Runthrough NS Intermediate</v>
      </c>
      <c r="AD42" s="114" t="str">
        <f>IFERROR(INDEX(Расходка[Наименование расходного материала],MATCH(Расходка[[#This Row],[№]],Поиск_расходки[Индекс13],0)),"")</f>
        <v>Runthrough NS Intermediate</v>
      </c>
      <c r="AF42" s="4" t="s">
        <v>6</v>
      </c>
      <c r="AG42" s="4" t="s">
        <v>435</v>
      </c>
    </row>
    <row r="43" spans="1:33">
      <c r="A43">
        <f>ROW(Расходка[[#This Row],[Тип расходного материала ]])-1</f>
        <v>42</v>
      </c>
      <c r="B43" t="s">
        <v>3</v>
      </c>
      <c r="C43" t="s">
        <v>314</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0</v>
      </c>
      <c r="H43" s="115">
        <f>IF(ISNUMBER(SEARCH('Карта учёта'!$B$16,Расходка[[#This Row],[Наименование расходного материала]])),MAX($H$1:H42)+1,0)</f>
        <v>0</v>
      </c>
      <c r="I43" s="115">
        <f>IF(ISNUMBER(SEARCH('Карта учёта'!$B$17,Расходка[[#This Row],[Наименование расходного материала]])),MAX($I$1:I42)+1,0)</f>
        <v>0</v>
      </c>
      <c r="J43" s="115">
        <f>IF(ISNUMBER(SEARCH('Карта учёта'!$B$18,Расходка[[#This Row],[Наименование расходного материала]])),MAX($J$1:J42)+1,0)</f>
        <v>0</v>
      </c>
      <c r="K43" s="115">
        <f>IF(ISNUMBER(SEARCH('Карта учёта'!$B$19,Расходка[[#This Row],[Наименование расходного материала]])),MAX($K$1:K42)+1,0)</f>
        <v>0</v>
      </c>
      <c r="L43" s="115">
        <f>IF(ISNUMBER(SEARCH('Карта учёта'!$B$20,Расходка[[#This Row],[Наименование расходного материала]])),MAX($L$1:L42)+1,0)</f>
        <v>0</v>
      </c>
      <c r="M43" s="115">
        <f>IF(ISNUMBER(SEARCH('Карта учёта'!$B$21,Расходка[[#This Row],[Наименование расходного материала]])),MAX($M$1:M42)+1,0)</f>
        <v>42</v>
      </c>
      <c r="N43" s="115">
        <f>IF(ISNUMBER(SEARCH('Карта учёта'!$B$22,Расходка[[#This Row],[Наименование расходного материала]])),MAX($N$1:N42)+1,0)</f>
        <v>42</v>
      </c>
      <c r="O43" s="115">
        <f>IF(ISNUMBER(SEARCH('Карта учёта'!$B$23,Расходка[[#This Row],[Наименование расходного материала]])),MAX($O$1:O42)+1,0)</f>
        <v>42</v>
      </c>
      <c r="P43" s="115">
        <f>IF(ISNUMBER(SEARCH('Карта учёта'!$B$24,Расходка[[#This Row],[Наименование расходного материала]])),MAX($P$1:P42)+1,0)</f>
        <v>42</v>
      </c>
      <c r="Q43" s="115">
        <f>IF(ISNUMBER(SEARCH('Карта учёта'!$B$25,Расходка[[#This Row],[Наименование расходного материала]])),MAX($Q$1:Q42)+1,0)</f>
        <v>42</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
      </c>
      <c r="U43" s="114" t="str">
        <f>IFERROR(INDEX(Расходка[Наименование расходного материала],MATCH(Расходка[[#This Row],[№]],Поиск_расходки[Индекс4],0)),"")</f>
        <v/>
      </c>
      <c r="V43" s="114" t="str">
        <f>IFERROR(INDEX(Расходка[Наименование расходного материала],MATCH(Расходка[[#This Row],[№]],Поиск_расходки[Индекс5],0)),"")</f>
        <v/>
      </c>
      <c r="W43" s="114" t="str">
        <f>IFERROR(INDEX(Расходка[Наименование расходного материала],MATCH(Расходка[[#This Row],[№]],Поиск_расходки[Индекс6],0)),"")</f>
        <v/>
      </c>
      <c r="X43" s="114" t="str">
        <f>IFERROR(INDEX(Расходка[Наименование расходного материала],MATCH(Расходка[[#This Row],[№]],Поиск_расходки[Индекс7],0)),"")</f>
        <v/>
      </c>
      <c r="Y43" s="114" t="str">
        <f>IFERROR(INDEX(Расходка[Наименование расходного материала],MATCH(Расходка[[#This Row],[№]],Поиск_расходки[Индекс8],0)),"")</f>
        <v/>
      </c>
      <c r="Z43" s="114" t="str">
        <f>IFERROR(INDEX(Расходка[Наименование расходного материала],MATCH(Расходка[[#This Row],[№]],Поиск_расходки[Индекс9],0)),"")</f>
        <v>Sion</v>
      </c>
      <c r="AA43" s="114" t="str">
        <f>IFERROR(INDEX(Расходка[Наименование расходного материала],MATCH(Расходка[[#This Row],[№]],Поиск_расходки[Индекс10],0)),"")</f>
        <v>Sion</v>
      </c>
      <c r="AB43" s="114" t="str">
        <f>IFERROR(INDEX(Расходка[Наименование расходного материала],MATCH(Расходка[[#This Row],[№]],Поиск_расходки[Индекс11],0)),"")</f>
        <v>Sion</v>
      </c>
      <c r="AC43" s="114" t="str">
        <f>IFERROR(INDEX(Расходка[Наименование расходного материала],MATCH(Расходка[[#This Row],[№]],Поиск_расходки[Индекс12],0)),"")</f>
        <v>Sion</v>
      </c>
      <c r="AD43" s="114" t="str">
        <f>IFERROR(INDEX(Расходка[Наименование расходного материала],MATCH(Расходка[[#This Row],[№]],Поиск_расходки[Индекс13],0)),"")</f>
        <v>Sion</v>
      </c>
      <c r="AF43" s="4" t="s">
        <v>6</v>
      </c>
      <c r="AG43" s="4" t="s">
        <v>408</v>
      </c>
    </row>
    <row r="44" spans="1:33">
      <c r="A44">
        <f>ROW(Расходка[[#This Row],[Тип расходного материала ]])-1</f>
        <v>43</v>
      </c>
      <c r="B44" t="s">
        <v>3</v>
      </c>
      <c r="C44" t="s">
        <v>376</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0</v>
      </c>
      <c r="H44" s="115">
        <f>IF(ISNUMBER(SEARCH('Карта учёта'!$B$16,Расходка[[#This Row],[Наименование расходного материала]])),MAX($H$1:H43)+1,0)</f>
        <v>0</v>
      </c>
      <c r="I44" s="115">
        <f>IF(ISNUMBER(SEARCH('Карта учёта'!$B$17,Расходка[[#This Row],[Наименование расходного материала]])),MAX($I$1:I43)+1,0)</f>
        <v>0</v>
      </c>
      <c r="J44" s="115">
        <f>IF(ISNUMBER(SEARCH('Карта учёта'!$B$18,Расходка[[#This Row],[Наименование расходного материала]])),MAX($J$1:J43)+1,0)</f>
        <v>0</v>
      </c>
      <c r="K44" s="115">
        <f>IF(ISNUMBER(SEARCH('Карта учёта'!$B$19,Расходка[[#This Row],[Наименование расходного материала]])),MAX($K$1:K43)+1,0)</f>
        <v>0</v>
      </c>
      <c r="L44" s="115">
        <f>IF(ISNUMBER(SEARCH('Карта учёта'!$B$20,Расходка[[#This Row],[Наименование расходного материала]])),MAX($L$1:L43)+1,0)</f>
        <v>0</v>
      </c>
      <c r="M44" s="115">
        <f>IF(ISNUMBER(SEARCH('Карта учёта'!$B$21,Расходка[[#This Row],[Наименование расходного материала]])),MAX($M$1:M43)+1,0)</f>
        <v>43</v>
      </c>
      <c r="N44" s="115">
        <f>IF(ISNUMBER(SEARCH('Карта учёта'!$B$22,Расходка[[#This Row],[Наименование расходного материала]])),MAX($N$1:N43)+1,0)</f>
        <v>43</v>
      </c>
      <c r="O44" s="115">
        <f>IF(ISNUMBER(SEARCH('Карта учёта'!$B$23,Расходка[[#This Row],[Наименование расходного материала]])),MAX($O$1:O43)+1,0)</f>
        <v>43</v>
      </c>
      <c r="P44" s="115">
        <f>IF(ISNUMBER(SEARCH('Карта учёта'!$B$24,Расходка[[#This Row],[Наименование расходного материала]])),MAX($P$1:P43)+1,0)</f>
        <v>43</v>
      </c>
      <c r="Q44" s="115">
        <f>IF(ISNUMBER(SEARCH('Карта учёта'!$B$25,Расходка[[#This Row],[Наименование расходного материала]])),MAX($Q$1:Q43)+1,0)</f>
        <v>43</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
      </c>
      <c r="U44" s="114" t="str">
        <f>IFERROR(INDEX(Расходка[Наименование расходного материала],MATCH(Расходка[[#This Row],[№]],Поиск_расходки[Индекс4],0)),"")</f>
        <v/>
      </c>
      <c r="V44" s="114" t="str">
        <f>IFERROR(INDEX(Расходка[Наименование расходного материала],MATCH(Расходка[[#This Row],[№]],Поиск_расходки[Индекс5],0)),"")</f>
        <v/>
      </c>
      <c r="W44" s="114" t="str">
        <f>IFERROR(INDEX(Расходка[Наименование расходного материала],MATCH(Расходка[[#This Row],[№]],Поиск_расходки[Индекс6],0)),"")</f>
        <v/>
      </c>
      <c r="X44" s="114" t="str">
        <f>IFERROR(INDEX(Расходка[Наименование расходного материала],MATCH(Расходка[[#This Row],[№]],Поиск_расходки[Индекс7],0)),"")</f>
        <v/>
      </c>
      <c r="Y44" s="114" t="str">
        <f>IFERROR(INDEX(Расходка[Наименование расходного материала],MATCH(Расходка[[#This Row],[№]],Поиск_расходки[Индекс8],0)),"")</f>
        <v/>
      </c>
      <c r="Z44" s="114" t="str">
        <f>IFERROR(INDEX(Расходка[Наименование расходного материала],MATCH(Расходка[[#This Row],[№]],Поиск_расходки[Индекс9],0)),"")</f>
        <v>Sion Black</v>
      </c>
      <c r="AA44" s="114" t="str">
        <f>IFERROR(INDEX(Расходка[Наименование расходного материала],MATCH(Расходка[[#This Row],[№]],Поиск_расходки[Индекс10],0)),"")</f>
        <v>Sion Black</v>
      </c>
      <c r="AB44" s="114" t="str">
        <f>IFERROR(INDEX(Расходка[Наименование расходного материала],MATCH(Расходка[[#This Row],[№]],Поиск_расходки[Индекс11],0)),"")</f>
        <v>Sion Black</v>
      </c>
      <c r="AC44" s="114" t="str">
        <f>IFERROR(INDEX(Расходка[Наименование расходного материала],MATCH(Расходка[[#This Row],[№]],Поиск_расходки[Индекс12],0)),"")</f>
        <v>Sion Black</v>
      </c>
      <c r="AD44" s="114" t="str">
        <f>IFERROR(INDEX(Расходка[Наименование расходного материала],MATCH(Расходка[[#This Row],[№]],Поиск_расходки[Индекс13],0)),"")</f>
        <v>Sion Black</v>
      </c>
      <c r="AF44" s="4" t="s">
        <v>6</v>
      </c>
      <c r="AG44" s="4" t="s">
        <v>436</v>
      </c>
    </row>
    <row r="45" spans="1:33">
      <c r="A45">
        <f>ROW(Расходка[[#This Row],[Тип расходного материала ]])-1</f>
        <v>44</v>
      </c>
      <c r="B45" t="s">
        <v>3</v>
      </c>
      <c r="C45" s="1" t="s">
        <v>370</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0</v>
      </c>
      <c r="H45" s="115">
        <f>IF(ISNUMBER(SEARCH('Карта учёта'!$B$16,Расходка[[#This Row],[Наименование расходного материала]])),MAX($H$1:H44)+1,0)</f>
        <v>0</v>
      </c>
      <c r="I45" s="115">
        <f>IF(ISNUMBER(SEARCH('Карта учёта'!$B$17,Расходка[[#This Row],[Наименование расходного материала]])),MAX($I$1:I44)+1,0)</f>
        <v>0</v>
      </c>
      <c r="J45" s="115">
        <f>IF(ISNUMBER(SEARCH('Карта учёта'!$B$18,Расходка[[#This Row],[Наименование расходного материала]])),MAX($J$1:J44)+1,0)</f>
        <v>0</v>
      </c>
      <c r="K45" s="115">
        <f>IF(ISNUMBER(SEARCH('Карта учёта'!$B$19,Расходка[[#This Row],[Наименование расходного материала]])),MAX($K$1:K44)+1,0)</f>
        <v>0</v>
      </c>
      <c r="L45" s="115">
        <f>IF(ISNUMBER(SEARCH('Карта учёта'!$B$20,Расходка[[#This Row],[Наименование расходного материала]])),MAX($L$1:L44)+1,0)</f>
        <v>0</v>
      </c>
      <c r="M45" s="115">
        <f>IF(ISNUMBER(SEARCH('Карта учёта'!$B$21,Расходка[[#This Row],[Наименование расходного материала]])),MAX($M$1:M44)+1,0)</f>
        <v>44</v>
      </c>
      <c r="N45" s="115">
        <f>IF(ISNUMBER(SEARCH('Карта учёта'!$B$22,Расходка[[#This Row],[Наименование расходного материала]])),MAX($N$1:N44)+1,0)</f>
        <v>44</v>
      </c>
      <c r="O45" s="115">
        <f>IF(ISNUMBER(SEARCH('Карта учёта'!$B$23,Расходка[[#This Row],[Наименование расходного материала]])),MAX($O$1:O44)+1,0)</f>
        <v>44</v>
      </c>
      <c r="P45" s="115">
        <f>IF(ISNUMBER(SEARCH('Карта учёта'!$B$24,Расходка[[#This Row],[Наименование расходного материала]])),MAX($P$1:P44)+1,0)</f>
        <v>44</v>
      </c>
      <c r="Q45" s="115">
        <f>IF(ISNUMBER(SEARCH('Карта учёта'!$B$25,Расходка[[#This Row],[Наименование расходного материала]])),MAX($Q$1:Q44)+1,0)</f>
        <v>44</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
      </c>
      <c r="U45" s="114" t="str">
        <f>IFERROR(INDEX(Расходка[Наименование расходного материала],MATCH(Расходка[[#This Row],[№]],Поиск_расходки[Индекс4],0)),"")</f>
        <v/>
      </c>
      <c r="V45" s="114" t="str">
        <f>IFERROR(INDEX(Расходка[Наименование расходного материала],MATCH(Расходка[[#This Row],[№]],Поиск_расходки[Индекс5],0)),"")</f>
        <v/>
      </c>
      <c r="W45" s="114" t="str">
        <f>IFERROR(INDEX(Расходка[Наименование расходного материала],MATCH(Расходка[[#This Row],[№]],Поиск_расходки[Индекс6],0)),"")</f>
        <v/>
      </c>
      <c r="X45" s="114" t="str">
        <f>IFERROR(INDEX(Расходка[Наименование расходного материала],MATCH(Расходка[[#This Row],[№]],Поиск_расходки[Индекс7],0)),"")</f>
        <v/>
      </c>
      <c r="Y45" s="114" t="str">
        <f>IFERROR(INDEX(Расходка[Наименование расходного материала],MATCH(Расходка[[#This Row],[№]],Поиск_расходки[Индекс8],0)),"")</f>
        <v/>
      </c>
      <c r="Z45" s="114" t="str">
        <f>IFERROR(INDEX(Расходка[Наименование расходного материала],MATCH(Расходка[[#This Row],[№]],Поиск_расходки[Индекс9],0)),"")</f>
        <v>Sion Blue</v>
      </c>
      <c r="AA45" s="114" t="str">
        <f>IFERROR(INDEX(Расходка[Наименование расходного материала],MATCH(Расходка[[#This Row],[№]],Поиск_расходки[Индекс10],0)),"")</f>
        <v>Sion Blue</v>
      </c>
      <c r="AB45" s="114" t="str">
        <f>IFERROR(INDEX(Расходка[Наименование расходного материала],MATCH(Расходка[[#This Row],[№]],Поиск_расходки[Индекс11],0)),"")</f>
        <v>Sion Blue</v>
      </c>
      <c r="AC45" s="114" t="str">
        <f>IFERROR(INDEX(Расходка[Наименование расходного материала],MATCH(Расходка[[#This Row],[№]],Поиск_расходки[Индекс12],0)),"")</f>
        <v>Sion Blue</v>
      </c>
      <c r="AD45" s="114" t="str">
        <f>IFERROR(INDEX(Расходка[Наименование расходного материала],MATCH(Расходка[[#This Row],[№]],Поиск_расходки[Индекс13],0)),"")</f>
        <v>Sion Blue</v>
      </c>
      <c r="AF45" s="4" t="s">
        <v>6</v>
      </c>
      <c r="AG45" s="4" t="s">
        <v>437</v>
      </c>
    </row>
    <row r="46" spans="1:33">
      <c r="A46">
        <f>ROW(Расходка[[#This Row],[Тип расходного материала ]])-1</f>
        <v>45</v>
      </c>
      <c r="B46" t="s">
        <v>3</v>
      </c>
      <c r="C46" t="s">
        <v>316</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0</v>
      </c>
      <c r="H46" s="115">
        <f>IF(ISNUMBER(SEARCH('Карта учёта'!$B$16,Расходка[[#This Row],[Наименование расходного материала]])),MAX($H$1:H45)+1,0)</f>
        <v>0</v>
      </c>
      <c r="I46" s="115">
        <f>IF(ISNUMBER(SEARCH('Карта учёта'!$B$17,Расходка[[#This Row],[Наименование расходного материала]])),MAX($I$1:I45)+1,0)</f>
        <v>0</v>
      </c>
      <c r="J46" s="115">
        <f>IF(ISNUMBER(SEARCH('Карта учёта'!$B$18,Расходка[[#This Row],[Наименование расходного материала]])),MAX($J$1:J45)+1,0)</f>
        <v>0</v>
      </c>
      <c r="K46" s="115">
        <f>IF(ISNUMBER(SEARCH('Карта учёта'!$B$19,Расходка[[#This Row],[Наименование расходного материала]])),MAX($K$1:K45)+1,0)</f>
        <v>0</v>
      </c>
      <c r="L46" s="115">
        <f>IF(ISNUMBER(SEARCH('Карта учёта'!$B$20,Расходка[[#This Row],[Наименование расходного материала]])),MAX($L$1:L45)+1,0)</f>
        <v>0</v>
      </c>
      <c r="M46" s="115">
        <f>IF(ISNUMBER(SEARCH('Карта учёта'!$B$21,Расходка[[#This Row],[Наименование расходного материала]])),MAX($M$1:M45)+1,0)</f>
        <v>45</v>
      </c>
      <c r="N46" s="115">
        <f>IF(ISNUMBER(SEARCH('Карта учёта'!$B$22,Расходка[[#This Row],[Наименование расходного материала]])),MAX($N$1:N45)+1,0)</f>
        <v>45</v>
      </c>
      <c r="O46" s="115">
        <f>IF(ISNUMBER(SEARCH('Карта учёта'!$B$23,Расходка[[#This Row],[Наименование расходного материала]])),MAX($O$1:O45)+1,0)</f>
        <v>45</v>
      </c>
      <c r="P46" s="115">
        <f>IF(ISNUMBER(SEARCH('Карта учёта'!$B$24,Расходка[[#This Row],[Наименование расходного материала]])),MAX($P$1:P45)+1,0)</f>
        <v>45</v>
      </c>
      <c r="Q46" s="115">
        <f>IF(ISNUMBER(SEARCH('Карта учёта'!$B$25,Расходка[[#This Row],[Наименование расходного материала]])),MAX($Q$1:Q45)+1,0)</f>
        <v>45</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
      </c>
      <c r="U46" s="114" t="str">
        <f>IFERROR(INDEX(Расходка[Наименование расходного материала],MATCH(Расходка[[#This Row],[№]],Поиск_расходки[Индекс4],0)),"")</f>
        <v/>
      </c>
      <c r="V46" s="114" t="str">
        <f>IFERROR(INDEX(Расходка[Наименование расходного материала],MATCH(Расходка[[#This Row],[№]],Поиск_расходки[Индекс5],0)),"")</f>
        <v/>
      </c>
      <c r="W46" s="114" t="str">
        <f>IFERROR(INDEX(Расходка[Наименование расходного материала],MATCH(Расходка[[#This Row],[№]],Поиск_расходки[Индекс6],0)),"")</f>
        <v/>
      </c>
      <c r="X46" s="114" t="str">
        <f>IFERROR(INDEX(Расходка[Наименование расходного материала],MATCH(Расходка[[#This Row],[№]],Поиск_расходки[Индекс7],0)),"")</f>
        <v/>
      </c>
      <c r="Y46" s="114" t="str">
        <f>IFERROR(INDEX(Расходка[Наименование расходного материала],MATCH(Расходка[[#This Row],[№]],Поиск_расходки[Индекс8],0)),"")</f>
        <v/>
      </c>
      <c r="Z46" s="114" t="str">
        <f>IFERROR(INDEX(Расходка[Наименование расходного материала],MATCH(Расходка[[#This Row],[№]],Поиск_расходки[Индекс9],0)),"")</f>
        <v>Thunder</v>
      </c>
      <c r="AA46" s="114" t="str">
        <f>IFERROR(INDEX(Расходка[Наименование расходного материала],MATCH(Расходка[[#This Row],[№]],Поиск_расходки[Индекс10],0)),"")</f>
        <v>Thunder</v>
      </c>
      <c r="AB46" s="114" t="str">
        <f>IFERROR(INDEX(Расходка[Наименование расходного материала],MATCH(Расходка[[#This Row],[№]],Поиск_расходки[Индекс11],0)),"")</f>
        <v>Thunder</v>
      </c>
      <c r="AC46" s="114" t="str">
        <f>IFERROR(INDEX(Расходка[Наименование расходного материала],MATCH(Расходка[[#This Row],[№]],Поиск_расходки[Индекс12],0)),"")</f>
        <v>Thunder</v>
      </c>
      <c r="AD46" s="114" t="str">
        <f>IFERROR(INDEX(Расходка[Наименование расходного материала],MATCH(Расходка[[#This Row],[№]],Поиск_расходки[Индекс13],0)),"")</f>
        <v>Thunder</v>
      </c>
      <c r="AF46" s="4" t="s">
        <v>6</v>
      </c>
      <c r="AG46" s="4" t="s">
        <v>438</v>
      </c>
    </row>
    <row r="47" spans="1:33">
      <c r="A47">
        <f>ROW(Расходка[[#This Row],[Тип расходного материала ]])-1</f>
        <v>46</v>
      </c>
      <c r="B47" t="s">
        <v>3</v>
      </c>
      <c r="C47" t="s">
        <v>518</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0</v>
      </c>
      <c r="H47" s="115">
        <f>IF(ISNUMBER(SEARCH('Карта учёта'!$B$16,Расходка[[#This Row],[Наименование расходного материала]])),MAX($H$1:H46)+1,0)</f>
        <v>0</v>
      </c>
      <c r="I47" s="115">
        <f>IF(ISNUMBER(SEARCH('Карта учёта'!$B$17,Расходка[[#This Row],[Наименование расходного материала]])),MAX($I$1:I46)+1,0)</f>
        <v>0</v>
      </c>
      <c r="J47" s="115">
        <f>IF(ISNUMBER(SEARCH('Карта учёта'!$B$18,Расходка[[#This Row],[Наименование расходного материала]])),MAX($J$1:J46)+1,0)</f>
        <v>0</v>
      </c>
      <c r="K47" s="115">
        <f>IF(ISNUMBER(SEARCH('Карта учёта'!$B$19,Расходка[[#This Row],[Наименование расходного материала]])),MAX($K$1:K46)+1,0)</f>
        <v>0</v>
      </c>
      <c r="L47" s="115">
        <f>IF(ISNUMBER(SEARCH('Карта учёта'!$B$20,Расходка[[#This Row],[Наименование расходного материала]])),MAX($L$1:L46)+1,0)</f>
        <v>0</v>
      </c>
      <c r="M47" s="115">
        <f>IF(ISNUMBER(SEARCH('Карта учёта'!$B$21,Расходка[[#This Row],[Наименование расходного материала]])),MAX($M$1:M46)+1,0)</f>
        <v>46</v>
      </c>
      <c r="N47" s="115">
        <f>IF(ISNUMBER(SEARCH('Карта учёта'!$B$22,Расходка[[#This Row],[Наименование расходного материала]])),MAX($N$1:N46)+1,0)</f>
        <v>46</v>
      </c>
      <c r="O47" s="115">
        <f>IF(ISNUMBER(SEARCH('Карта учёта'!$B$23,Расходка[[#This Row],[Наименование расходного материала]])),MAX($O$1:O46)+1,0)</f>
        <v>46</v>
      </c>
      <c r="P47" s="115">
        <f>IF(ISNUMBER(SEARCH('Карта учёта'!$B$24,Расходка[[#This Row],[Наименование расходного материала]])),MAX($P$1:P46)+1,0)</f>
        <v>46</v>
      </c>
      <c r="Q47" s="115">
        <f>IF(ISNUMBER(SEARCH('Карта учёта'!$B$25,Расходка[[#This Row],[Наименование расходного материала]])),MAX($Q$1:Q46)+1,0)</f>
        <v>46</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
      </c>
      <c r="U47" s="114" t="str">
        <f>IFERROR(INDEX(Расходка[Наименование расходного материала],MATCH(Расходка[[#This Row],[№]],Поиск_расходки[Индекс4],0)),"")</f>
        <v/>
      </c>
      <c r="V47" s="114" t="str">
        <f>IFERROR(INDEX(Расходка[Наименование расходного материала],MATCH(Расходка[[#This Row],[№]],Поиск_расходки[Индекс5],0)),"")</f>
        <v/>
      </c>
      <c r="W47" s="114" t="str">
        <f>IFERROR(INDEX(Расходка[Наименование расходного материала],MATCH(Расходка[[#This Row],[№]],Поиск_расходки[Индекс6],0)),"")</f>
        <v/>
      </c>
      <c r="X47" s="114" t="str">
        <f>IFERROR(INDEX(Расходка[Наименование расходного материала],MATCH(Расходка[[#This Row],[№]],Поиск_расходки[Индекс7],0)),"")</f>
        <v/>
      </c>
      <c r="Y47" s="114" t="str">
        <f>IFERROR(INDEX(Расходка[Наименование расходного материала],MATCH(Расходка[[#This Row],[№]],Поиск_расходки[Индекс8],0)),"")</f>
        <v/>
      </c>
      <c r="Z47" s="114" t="str">
        <f>IFERROR(INDEX(Расходка[Наименование расходного материала],MATCH(Расходка[[#This Row],[№]],Поиск_расходки[Индекс9],0)),"")</f>
        <v>Abbot Whisper MS</v>
      </c>
      <c r="AA47" s="114" t="str">
        <f>IFERROR(INDEX(Расходка[Наименование расходного материала],MATCH(Расходка[[#This Row],[№]],Поиск_расходки[Индекс10],0)),"")</f>
        <v>Abbot Whisper MS</v>
      </c>
      <c r="AB47" s="114" t="str">
        <f>IFERROR(INDEX(Расходка[Наименование расходного материала],MATCH(Расходка[[#This Row],[№]],Поиск_расходки[Индекс11],0)),"")</f>
        <v>Abbot Whisper MS</v>
      </c>
      <c r="AC47" s="114" t="str">
        <f>IFERROR(INDEX(Расходка[Наименование расходного материала],MATCH(Расходка[[#This Row],[№]],Поиск_расходки[Индекс12],0)),"")</f>
        <v>Abbot Whisper MS</v>
      </c>
      <c r="AD47" s="114" t="str">
        <f>IFERROR(INDEX(Расходка[Наименование расходного материала],MATCH(Расходка[[#This Row],[№]],Поиск_расходки[Индекс13],0)),"")</f>
        <v>Abbot Whisper MS</v>
      </c>
      <c r="AF47" s="4" t="s">
        <v>6</v>
      </c>
      <c r="AG47" s="4" t="s">
        <v>439</v>
      </c>
    </row>
    <row r="48" spans="1:33">
      <c r="A48">
        <f>ROW(Расходка[[#This Row],[Тип расходного материала ]])-1</f>
        <v>47</v>
      </c>
      <c r="B48" t="s">
        <v>3</v>
      </c>
      <c r="C48" t="s">
        <v>519</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0</v>
      </c>
      <c r="H48" s="115">
        <f>IF(ISNUMBER(SEARCH('Карта учёта'!$B$16,Расходка[[#This Row],[Наименование расходного материала]])),MAX($H$1:H47)+1,0)</f>
        <v>0</v>
      </c>
      <c r="I48" s="115">
        <f>IF(ISNUMBER(SEARCH('Карта учёта'!$B$17,Расходка[[#This Row],[Наименование расходного материала]])),MAX($I$1:I47)+1,0)</f>
        <v>0</v>
      </c>
      <c r="J48" s="115">
        <f>IF(ISNUMBER(SEARCH('Карта учёта'!$B$18,Расходка[[#This Row],[Наименование расходного материала]])),MAX($J$1:J47)+1,0)</f>
        <v>0</v>
      </c>
      <c r="K48" s="115">
        <f>IF(ISNUMBER(SEARCH('Карта учёта'!$B$19,Расходка[[#This Row],[Наименование расходного материала]])),MAX($K$1:K47)+1,0)</f>
        <v>0</v>
      </c>
      <c r="L48" s="115">
        <f>IF(ISNUMBER(SEARCH('Карта учёта'!$B$20,Расходка[[#This Row],[Наименование расходного материала]])),MAX($L$1:L47)+1,0)</f>
        <v>0</v>
      </c>
      <c r="M48" s="115">
        <f>IF(ISNUMBER(SEARCH('Карта учёта'!$B$21,Расходка[[#This Row],[Наименование расходного материала]])),MAX($M$1:M47)+1,0)</f>
        <v>47</v>
      </c>
      <c r="N48" s="115">
        <f>IF(ISNUMBER(SEARCH('Карта учёта'!$B$22,Расходка[[#This Row],[Наименование расходного материала]])),MAX($N$1:N47)+1,0)</f>
        <v>47</v>
      </c>
      <c r="O48" s="115">
        <f>IF(ISNUMBER(SEARCH('Карта учёта'!$B$23,Расходка[[#This Row],[Наименование расходного материала]])),MAX($O$1:O47)+1,0)</f>
        <v>47</v>
      </c>
      <c r="P48" s="115">
        <f>IF(ISNUMBER(SEARCH('Карта учёта'!$B$24,Расходка[[#This Row],[Наименование расходного материала]])),MAX($P$1:P47)+1,0)</f>
        <v>47</v>
      </c>
      <c r="Q48" s="115">
        <f>IF(ISNUMBER(SEARCH('Карта учёта'!$B$25,Расходка[[#This Row],[Наименование расходного материала]])),MAX($Q$1:Q47)+1,0)</f>
        <v>47</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
      </c>
      <c r="U48" s="114" t="str">
        <f>IFERROR(INDEX(Расходка[Наименование расходного материала],MATCH(Расходка[[#This Row],[№]],Поиск_расходки[Индекс4],0)),"")</f>
        <v/>
      </c>
      <c r="V48" s="114" t="str">
        <f>IFERROR(INDEX(Расходка[Наименование расходного материала],MATCH(Расходка[[#This Row],[№]],Поиск_расходки[Индекс5],0)),"")</f>
        <v/>
      </c>
      <c r="W48" s="114" t="str">
        <f>IFERROR(INDEX(Расходка[Наименование расходного материала],MATCH(Расходка[[#This Row],[№]],Поиск_расходки[Индекс6],0)),"")</f>
        <v/>
      </c>
      <c r="X48" s="114" t="str">
        <f>IFERROR(INDEX(Расходка[Наименование расходного материала],MATCH(Расходка[[#This Row],[№]],Поиск_расходки[Индекс7],0)),"")</f>
        <v/>
      </c>
      <c r="Y48" s="114" t="str">
        <f>IFERROR(INDEX(Расходка[Наименование расходного материала],MATCH(Расходка[[#This Row],[№]],Поиск_расходки[Индекс8],0)),"")</f>
        <v/>
      </c>
      <c r="Z48" s="114" t="str">
        <f>IFERROR(INDEX(Расходка[Наименование расходного материала],MATCH(Расходка[[#This Row],[№]],Поиск_расходки[Индекс9],0)),"")</f>
        <v>Abbot Whisper LS</v>
      </c>
      <c r="AA48" s="114" t="str">
        <f>IFERROR(INDEX(Расходка[Наименование расходного материала],MATCH(Расходка[[#This Row],[№]],Поиск_расходки[Индекс10],0)),"")</f>
        <v>Abbot Whisper LS</v>
      </c>
      <c r="AB48" s="114" t="str">
        <f>IFERROR(INDEX(Расходка[Наименование расходного материала],MATCH(Расходка[[#This Row],[№]],Поиск_расходки[Индекс11],0)),"")</f>
        <v>Abbot Whisper LS</v>
      </c>
      <c r="AC48" s="114" t="str">
        <f>IFERROR(INDEX(Расходка[Наименование расходного материала],MATCH(Расходка[[#This Row],[№]],Поиск_расходки[Индекс12],0)),"")</f>
        <v>Abbot Whisper LS</v>
      </c>
      <c r="AD48" s="114" t="str">
        <f>IFERROR(INDEX(Расходка[Наименование расходного материала],MATCH(Расходка[[#This Row],[№]],Поиск_расходки[Индекс13],0)),"")</f>
        <v>Abbot Whisper LS</v>
      </c>
      <c r="AF48" s="4" t="s">
        <v>6</v>
      </c>
      <c r="AG48" s="4" t="s">
        <v>440</v>
      </c>
    </row>
    <row r="49" spans="1:33">
      <c r="A49">
        <f>ROW(Расходка[[#This Row],[Тип расходного материала ]])-1</f>
        <v>48</v>
      </c>
      <c r="B49" t="s">
        <v>3</v>
      </c>
      <c r="C49" t="s">
        <v>360</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0</v>
      </c>
      <c r="H49" s="115">
        <f>IF(ISNUMBER(SEARCH('Карта учёта'!$B$16,Расходка[[#This Row],[Наименование расходного материала]])),MAX($H$1:H48)+1,0)</f>
        <v>0</v>
      </c>
      <c r="I49" s="115">
        <f>IF(ISNUMBER(SEARCH('Карта учёта'!$B$17,Расходка[[#This Row],[Наименование расходного материала]])),MAX($I$1:I48)+1,0)</f>
        <v>0</v>
      </c>
      <c r="J49" s="115">
        <f>IF(ISNUMBER(SEARCH('Карта учёта'!$B$18,Расходка[[#This Row],[Наименование расходного материала]])),MAX($J$1:J48)+1,0)</f>
        <v>0</v>
      </c>
      <c r="K49" s="115">
        <f>IF(ISNUMBER(SEARCH('Карта учёта'!$B$19,Расходка[[#This Row],[Наименование расходного материала]])),MAX($K$1:K48)+1,0)</f>
        <v>0</v>
      </c>
      <c r="L49" s="115">
        <f>IF(ISNUMBER(SEARCH('Карта учёта'!$B$20,Расходка[[#This Row],[Наименование расходного материала]])),MAX($L$1:L48)+1,0)</f>
        <v>0</v>
      </c>
      <c r="M49" s="115">
        <f>IF(ISNUMBER(SEARCH('Карта учёта'!$B$21,Расходка[[#This Row],[Наименование расходного материала]])),MAX($M$1:M48)+1,0)</f>
        <v>48</v>
      </c>
      <c r="N49" s="115">
        <f>IF(ISNUMBER(SEARCH('Карта учёта'!$B$22,Расходка[[#This Row],[Наименование расходного материала]])),MAX($N$1:N48)+1,0)</f>
        <v>48</v>
      </c>
      <c r="O49" s="115">
        <f>IF(ISNUMBER(SEARCH('Карта учёта'!$B$23,Расходка[[#This Row],[Наименование расходного материала]])),MAX($O$1:O48)+1,0)</f>
        <v>48</v>
      </c>
      <c r="P49" s="115">
        <f>IF(ISNUMBER(SEARCH('Карта учёта'!$B$24,Расходка[[#This Row],[Наименование расходного материала]])),MAX($P$1:P48)+1,0)</f>
        <v>48</v>
      </c>
      <c r="Q49" s="115">
        <f>IF(ISNUMBER(SEARCH('Карта учёта'!$B$25,Расходка[[#This Row],[Наименование расходного материала]])),MAX($Q$1:Q48)+1,0)</f>
        <v>48</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
      </c>
      <c r="U49" s="114" t="str">
        <f>IFERROR(INDEX(Расходка[Наименование расходного материала],MATCH(Расходка[[#This Row],[№]],Поиск_расходки[Индекс4],0)),"")</f>
        <v/>
      </c>
      <c r="V49" s="114" t="str">
        <f>IFERROR(INDEX(Расходка[Наименование расходного материала],MATCH(Расходка[[#This Row],[№]],Поиск_расходки[Индекс5],0)),"")</f>
        <v/>
      </c>
      <c r="W49" s="114" t="str">
        <f>IFERROR(INDEX(Расходка[Наименование расходного материала],MATCH(Расходка[[#This Row],[№]],Поиск_расходки[Индекс6],0)),"")</f>
        <v/>
      </c>
      <c r="X49" s="114" t="str">
        <f>IFERROR(INDEX(Расходка[Наименование расходного материала],MATCH(Расходка[[#This Row],[№]],Поиск_расходки[Индекс7],0)),"")</f>
        <v/>
      </c>
      <c r="Y49" s="114" t="str">
        <f>IFERROR(INDEX(Расходка[Наименование расходного материала],MATCH(Расходка[[#This Row],[№]],Поиск_расходки[Индекс8],0)),"")</f>
        <v/>
      </c>
      <c r="Z49" s="114" t="str">
        <f>IFERROR(INDEX(Расходка[Наименование расходного материала],MATCH(Расходка[[#This Row],[№]],Поиск_расходки[Индекс9],0)),"")</f>
        <v>Winn 200T</v>
      </c>
      <c r="AA49" s="114" t="str">
        <f>IFERROR(INDEX(Расходка[Наименование расходного материала],MATCH(Расходка[[#This Row],[№]],Поиск_расходки[Индекс10],0)),"")</f>
        <v>Winn 200T</v>
      </c>
      <c r="AB49" s="114" t="str">
        <f>IFERROR(INDEX(Расходка[Наименование расходного материала],MATCH(Расходка[[#This Row],[№]],Поиск_расходки[Индекс11],0)),"")</f>
        <v>Winn 200T</v>
      </c>
      <c r="AC49" s="114" t="str">
        <f>IFERROR(INDEX(Расходка[Наименование расходного материала],MATCH(Расходка[[#This Row],[№]],Поиск_расходки[Индекс12],0)),"")</f>
        <v>Winn 200T</v>
      </c>
      <c r="AD49" s="114" t="str">
        <f>IFERROR(INDEX(Расходка[Наименование расходного материала],MATCH(Расходка[[#This Row],[№]],Поиск_расходки[Индекс13],0)),"")</f>
        <v>Winn 200T</v>
      </c>
      <c r="AF49" s="4" t="s">
        <v>6</v>
      </c>
      <c r="AG49" s="4" t="s">
        <v>441</v>
      </c>
    </row>
    <row r="50" spans="1:33">
      <c r="A50">
        <f>ROW(Расходка[[#This Row],[Тип расходного материала ]])-1</f>
        <v>49</v>
      </c>
      <c r="B50" t="s">
        <v>3</v>
      </c>
      <c r="C50" t="s">
        <v>345</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0</v>
      </c>
      <c r="H50" s="115">
        <f>IF(ISNUMBER(SEARCH('Карта учёта'!$B$16,Расходка[[#This Row],[Наименование расходного материала]])),MAX($H$1:H49)+1,0)</f>
        <v>0</v>
      </c>
      <c r="I50" s="115">
        <f>IF(ISNUMBER(SEARCH('Карта учёта'!$B$17,Расходка[[#This Row],[Наименование расходного материала]])),MAX($I$1:I49)+1,0)</f>
        <v>0</v>
      </c>
      <c r="J50" s="115">
        <f>IF(ISNUMBER(SEARCH('Карта учёта'!$B$18,Расходка[[#This Row],[Наименование расходного материала]])),MAX($J$1:J49)+1,0)</f>
        <v>0</v>
      </c>
      <c r="K50" s="115">
        <f>IF(ISNUMBER(SEARCH('Карта учёта'!$B$19,Расходка[[#This Row],[Наименование расходного материала]])),MAX($K$1:K49)+1,0)</f>
        <v>0</v>
      </c>
      <c r="L50" s="115">
        <f>IF(ISNUMBER(SEARCH('Карта учёта'!$B$20,Расходка[[#This Row],[Наименование расходного материала]])),MAX($L$1:L49)+1,0)</f>
        <v>0</v>
      </c>
      <c r="M50" s="115">
        <f>IF(ISNUMBER(SEARCH('Карта учёта'!$B$21,Расходка[[#This Row],[Наименование расходного материала]])),MAX($M$1:M49)+1,0)</f>
        <v>49</v>
      </c>
      <c r="N50" s="115">
        <f>IF(ISNUMBER(SEARCH('Карта учёта'!$B$22,Расходка[[#This Row],[Наименование расходного материала]])),MAX($N$1:N49)+1,0)</f>
        <v>49</v>
      </c>
      <c r="O50" s="115">
        <f>IF(ISNUMBER(SEARCH('Карта учёта'!$B$23,Расходка[[#This Row],[Наименование расходного материала]])),MAX($O$1:O49)+1,0)</f>
        <v>49</v>
      </c>
      <c r="P50" s="115">
        <f>IF(ISNUMBER(SEARCH('Карта учёта'!$B$24,Расходка[[#This Row],[Наименование расходного материала]])),MAX($P$1:P49)+1,0)</f>
        <v>49</v>
      </c>
      <c r="Q50" s="115">
        <f>IF(ISNUMBER(SEARCH('Карта учёта'!$B$25,Расходка[[#This Row],[Наименование расходного материала]])),MAX($Q$1:Q49)+1,0)</f>
        <v>49</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
      </c>
      <c r="U50" s="114" t="str">
        <f>IFERROR(INDEX(Расходка[Наименование расходного материала],MATCH(Расходка[[#This Row],[№]],Поиск_расходки[Индекс4],0)),"")</f>
        <v/>
      </c>
      <c r="V50" s="114" t="str">
        <f>IFERROR(INDEX(Расходка[Наименование расходного материала],MATCH(Расходка[[#This Row],[№]],Поиск_расходки[Индекс5],0)),"")</f>
        <v/>
      </c>
      <c r="W50" s="114" t="str">
        <f>IFERROR(INDEX(Расходка[Наименование расходного материала],MATCH(Расходка[[#This Row],[№]],Поиск_расходки[Индекс6],0)),"")</f>
        <v/>
      </c>
      <c r="X50" s="114" t="str">
        <f>IFERROR(INDEX(Расходка[Наименование расходного материала],MATCH(Расходка[[#This Row],[№]],Поиск_расходки[Индекс7],0)),"")</f>
        <v/>
      </c>
      <c r="Y50" s="114" t="str">
        <f>IFERROR(INDEX(Расходка[Наименование расходного материала],MATCH(Расходка[[#This Row],[№]],Поиск_расходки[Индекс8],0)),"")</f>
        <v/>
      </c>
      <c r="Z50" s="114" t="str">
        <f>IFERROR(INDEX(Расходка[Наименование расходного материала],MATCH(Расходка[[#This Row],[№]],Поиск_расходки[Индекс9],0)),"")</f>
        <v>Проводник коронарный  1g, Angioline</v>
      </c>
      <c r="AA50" s="114" t="str">
        <f>IFERROR(INDEX(Расходка[Наименование расходного материала],MATCH(Расходка[[#This Row],[№]],Поиск_расходки[Индекс10],0)),"")</f>
        <v>Проводник коронарный  1g, Angioline</v>
      </c>
      <c r="AB50" s="114" t="str">
        <f>IFERROR(INDEX(Расходка[Наименование расходного материала],MATCH(Расходка[[#This Row],[№]],Поиск_расходки[Индекс11],0)),"")</f>
        <v>Проводник коронарный  1g, Angioline</v>
      </c>
      <c r="AC50" s="114" t="str">
        <f>IFERROR(INDEX(Расходка[Наименование расходного материала],MATCH(Расходка[[#This Row],[№]],Поиск_расходки[Индекс12],0)),"")</f>
        <v>Проводник коронарный  1g, Angioline</v>
      </c>
      <c r="AD50" s="114" t="str">
        <f>IFERROR(INDEX(Расходка[Наименование расходного материала],MATCH(Расходка[[#This Row],[№]],Поиск_расходки[Индекс13],0)),"")</f>
        <v>Проводник коронарный  1g, Angioline</v>
      </c>
      <c r="AF50" s="4" t="s">
        <v>6</v>
      </c>
      <c r="AG50" s="4" t="s">
        <v>442</v>
      </c>
    </row>
    <row r="51" spans="1:33">
      <c r="A51">
        <f>ROW(Расходка[[#This Row],[Тип расходного материала ]])-1</f>
        <v>50</v>
      </c>
      <c r="B51" t="s">
        <v>3</v>
      </c>
      <c r="C51" t="s">
        <v>508</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0</v>
      </c>
      <c r="H51" s="115">
        <f>IF(ISNUMBER(SEARCH('Карта учёта'!$B$16,Расходка[[#This Row],[Наименование расходного материала]])),MAX($H$1:H50)+1,0)</f>
        <v>0</v>
      </c>
      <c r="I51" s="115">
        <f>IF(ISNUMBER(SEARCH('Карта учёта'!$B$17,Расходка[[#This Row],[Наименование расходного материала]])),MAX($I$1:I50)+1,0)</f>
        <v>0</v>
      </c>
      <c r="J51" s="115">
        <f>IF(ISNUMBER(SEARCH('Карта учёта'!$B$18,Расходка[[#This Row],[Наименование расходного материала]])),MAX($J$1:J50)+1,0)</f>
        <v>0</v>
      </c>
      <c r="K51" s="115">
        <f>IF(ISNUMBER(SEARCH('Карта учёта'!$B$19,Расходка[[#This Row],[Наименование расходного материала]])),MAX($K$1:K50)+1,0)</f>
        <v>0</v>
      </c>
      <c r="L51" s="115">
        <f>IF(ISNUMBER(SEARCH('Карта учёта'!$B$20,Расходка[[#This Row],[Наименование расходного материала]])),MAX($L$1:L50)+1,0)</f>
        <v>0</v>
      </c>
      <c r="M51" s="115">
        <f>IF(ISNUMBER(SEARCH('Карта учёта'!$B$21,Расходка[[#This Row],[Наименование расходного материала]])),MAX($M$1:M50)+1,0)</f>
        <v>50</v>
      </c>
      <c r="N51" s="115">
        <f>IF(ISNUMBER(SEARCH('Карта учёта'!$B$22,Расходка[[#This Row],[Наименование расходного материала]])),MAX($N$1:N50)+1,0)</f>
        <v>50</v>
      </c>
      <c r="O51" s="115">
        <f>IF(ISNUMBER(SEARCH('Карта учёта'!$B$23,Расходка[[#This Row],[Наименование расходного материала]])),MAX($O$1:O50)+1,0)</f>
        <v>50</v>
      </c>
      <c r="P51" s="115">
        <f>IF(ISNUMBER(SEARCH('Карта учёта'!$B$24,Расходка[[#This Row],[Наименование расходного материала]])),MAX($P$1:P50)+1,0)</f>
        <v>50</v>
      </c>
      <c r="Q51" s="115">
        <f>IF(ISNUMBER(SEARCH('Карта учёта'!$B$25,Расходка[[#This Row],[Наименование расходного материала]])),MAX($Q$1:Q50)+1,0)</f>
        <v>50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
      </c>
      <c r="U51" s="114" t="str">
        <f>IFERROR(INDEX(Расходка[Наименование расходного материала],MATCH(Расходка[[#This Row],[№]],Поиск_расходки[Индекс4],0)),"")</f>
        <v/>
      </c>
      <c r="V51" s="114" t="str">
        <f>IFERROR(INDEX(Расходка[Наименование расходного материала],MATCH(Расходка[[#This Row],[№]],Поиск_расходки[Индекс5],0)),"")</f>
        <v/>
      </c>
      <c r="W51" s="114" t="str">
        <f>IFERROR(INDEX(Расходка[Наименование расходного материала],MATCH(Расходка[[#This Row],[№]],Поиск_расходки[Индекс6],0)),"")</f>
        <v/>
      </c>
      <c r="X51" s="114" t="str">
        <f>IFERROR(INDEX(Расходка[Наименование расходного материала],MATCH(Расходка[[#This Row],[№]],Поиск_расходки[Индекс7],0)),"")</f>
        <v/>
      </c>
      <c r="Y51" s="114" t="str">
        <f>IFERROR(INDEX(Расходка[Наименование расходного материала],MATCH(Расходка[[#This Row],[№]],Поиск_расходки[Индекс8],0)),"")</f>
        <v/>
      </c>
      <c r="Z51" s="114" t="str">
        <f>IFERROR(INDEX(Расходка[Наименование расходного материала],MATCH(Расходка[[#This Row],[№]],Поиск_расходки[Индекс9],0)),"")</f>
        <v>Проводник коронарный  0,8g, Angioline</v>
      </c>
      <c r="AA51" s="114" t="str">
        <f>IFERROR(INDEX(Расходка[Наименование расходного материала],MATCH(Расходка[[#This Row],[№]],Поиск_расходки[Индекс10],0)),"")</f>
        <v>Проводник коронарный  0,8g, Angioline</v>
      </c>
      <c r="AB51" s="114" t="str">
        <f>IFERROR(INDEX(Расходка[Наименование расходного материала],MATCH(Расходка[[#This Row],[№]],Поиск_расходки[Индекс11],0)),"")</f>
        <v>Проводник коронарный  0,8g, Angioline</v>
      </c>
      <c r="AC51" s="114" t="str">
        <f>IFERROR(INDEX(Расходка[Наименование расходного материала],MATCH(Расходка[[#This Row],[№]],Поиск_расходки[Индекс12],0)),"")</f>
        <v>Проводник коронарный  0,8g, Angioline</v>
      </c>
      <c r="AD51" s="114" t="str">
        <f>IFERROR(INDEX(Расходка[Наименование расходного материала],MATCH(Расходка[[#This Row],[№]],Поиск_расходки[Индекс13],0)),"")</f>
        <v>Проводник коронарный  0,8g, Angioline</v>
      </c>
      <c r="AF51" s="4" t="s">
        <v>6</v>
      </c>
      <c r="AG51" s="4" t="s">
        <v>443</v>
      </c>
    </row>
    <row r="52" spans="1:33">
      <c r="A52">
        <f>ROW(Расходка[[#This Row],[Тип расходного материала ]])-1</f>
        <v>51</v>
      </c>
      <c r="B52" t="s">
        <v>3</v>
      </c>
      <c r="C52" t="s">
        <v>96</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0</v>
      </c>
      <c r="H52" s="115">
        <f>IF(ISNUMBER(SEARCH('Карта учёта'!$B$16,Расходка[[#This Row],[Наименование расходного материала]])),MAX($H$1:H51)+1,0)</f>
        <v>0</v>
      </c>
      <c r="I52" s="115">
        <f>IF(ISNUMBER(SEARCH('Карта учёта'!$B$17,Расходка[[#This Row],[Наименование расходного материала]])),MAX($I$1:I51)+1,0)</f>
        <v>0</v>
      </c>
      <c r="J52" s="115">
        <f>IF(ISNUMBER(SEARCH('Карта учёта'!$B$18,Расходка[[#This Row],[Наименование расходного материала]])),MAX($J$1:J51)+1,0)</f>
        <v>0</v>
      </c>
      <c r="K52" s="115">
        <f>IF(ISNUMBER(SEARCH('Карта учёта'!$B$19,Расходка[[#This Row],[Наименование расходного материала]])),MAX($K$1:K51)+1,0)</f>
        <v>0</v>
      </c>
      <c r="L52" s="115">
        <f>IF(ISNUMBER(SEARCH('Карта учёта'!$B$20,Расходка[[#This Row],[Наименование расходного материала]])),MAX($L$1:L51)+1,0)</f>
        <v>0</v>
      </c>
      <c r="M52" s="115">
        <f>IF(ISNUMBER(SEARCH('Карта учёта'!$B$21,Расходка[[#This Row],[Наименование расходного материала]])),MAX($M$1:M51)+1,0)</f>
        <v>51</v>
      </c>
      <c r="N52" s="115">
        <f>IF(ISNUMBER(SEARCH('Карта учёта'!$B$22,Расходка[[#This Row],[Наименование расходного материала]])),MAX($N$1:N51)+1,0)</f>
        <v>51</v>
      </c>
      <c r="O52" s="115">
        <f>IF(ISNUMBER(SEARCH('Карта учёта'!$B$23,Расходка[[#This Row],[Наименование расходного материала]])),MAX($O$1:O51)+1,0)</f>
        <v>51</v>
      </c>
      <c r="P52" s="115">
        <f>IF(ISNUMBER(SEARCH('Карта учёта'!$B$24,Расходка[[#This Row],[Наименование расходного материала]])),MAX($P$1:P51)+1,0)</f>
        <v>51</v>
      </c>
      <c r="Q52" s="115">
        <f>IF(ISNUMBER(SEARCH('Карта учёта'!$B$25,Расходка[[#This Row],[Наименование расходного материала]])),MAX($Q$1:Q51)+1,0)</f>
        <v>51</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
      </c>
      <c r="U52" s="114" t="str">
        <f>IFERROR(INDEX(Расходка[Наименование расходного материала],MATCH(Расходка[[#This Row],[№]],Поиск_расходки[Индекс4],0)),"")</f>
        <v/>
      </c>
      <c r="V52" s="114" t="str">
        <f>IFERROR(INDEX(Расходка[Наименование расходного материала],MATCH(Расходка[[#This Row],[№]],Поиск_расходки[Индекс5],0)),"")</f>
        <v/>
      </c>
      <c r="W52" s="114" t="str">
        <f>IFERROR(INDEX(Расходка[Наименование расходного материала],MATCH(Расходка[[#This Row],[№]],Поиск_расходки[Индекс6],0)),"")</f>
        <v/>
      </c>
      <c r="X52" s="114" t="str">
        <f>IFERROR(INDEX(Расходка[Наименование расходного материала],MATCH(Расходка[[#This Row],[№]],Поиск_расходки[Индекс7],0)),"")</f>
        <v/>
      </c>
      <c r="Y52" s="114" t="str">
        <f>IFERROR(INDEX(Расходка[Наименование расходного материала],MATCH(Расходка[[#This Row],[№]],Поиск_расходки[Индекс8],0)),"")</f>
        <v/>
      </c>
      <c r="Z52" s="114" t="str">
        <f>IFERROR(INDEX(Расходка[Наименование расходного материала],MATCH(Расходка[[#This Row],[№]],Поиск_расходки[Индекс9],0)),"")</f>
        <v>Проводник коронарный  3g, Angioline</v>
      </c>
      <c r="AA52" s="114" t="str">
        <f>IFERROR(INDEX(Расходка[Наименование расходного материала],MATCH(Расходка[[#This Row],[№]],Поиск_расходки[Индекс10],0)),"")</f>
        <v>Проводник коронарный  3g, Angioline</v>
      </c>
      <c r="AB52" s="114" t="str">
        <f>IFERROR(INDEX(Расходка[Наименование расходного материала],MATCH(Расходка[[#This Row],[№]],Поиск_расходки[Индекс11],0)),"")</f>
        <v>Проводник коронарный  3g, Angioline</v>
      </c>
      <c r="AC52" s="114" t="str">
        <f>IFERROR(INDEX(Расходка[Наименование расходного материала],MATCH(Расходка[[#This Row],[№]],Поиск_расходки[Индекс12],0)),"")</f>
        <v>Проводник коронарный  3g, Angioline</v>
      </c>
      <c r="AD52" s="114" t="str">
        <f>IFERROR(INDEX(Расходка[Наименование расходного материала],MATCH(Расходка[[#This Row],[№]],Поиск_расходки[Индекс13],0)),"")</f>
        <v>Проводник коронарный  3g, Angioline</v>
      </c>
      <c r="AF52" s="4" t="s">
        <v>6</v>
      </c>
      <c r="AG52" s="4" t="s">
        <v>444</v>
      </c>
    </row>
    <row r="53" spans="1:33">
      <c r="A53">
        <f>ROW(Расходка[[#This Row],[Тип расходного материала ]])-1</f>
        <v>52</v>
      </c>
      <c r="B53" t="s">
        <v>3</v>
      </c>
      <c r="C53" t="s">
        <v>506</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0</v>
      </c>
      <c r="H53" s="115">
        <f>IF(ISNUMBER(SEARCH('Карта учёта'!$B$16,Расходка[[#This Row],[Наименование расходного материала]])),MAX($H$1:H52)+1,0)</f>
        <v>0</v>
      </c>
      <c r="I53" s="115">
        <f>IF(ISNUMBER(SEARCH('Карта учёта'!$B$17,Расходка[[#This Row],[Наименование расходного материала]])),MAX($I$1:I52)+1,0)</f>
        <v>0</v>
      </c>
      <c r="J53" s="115">
        <f>IF(ISNUMBER(SEARCH('Карта учёта'!$B$18,Расходка[[#This Row],[Наименование расходного материала]])),MAX($J$1:J52)+1,0)</f>
        <v>0</v>
      </c>
      <c r="K53" s="115">
        <f>IF(ISNUMBER(SEARCH('Карта учёта'!$B$19,Расходка[[#This Row],[Наименование расходного материала]])),MAX($K$1:K52)+1,0)</f>
        <v>0</v>
      </c>
      <c r="L53" s="115">
        <f>IF(ISNUMBER(SEARCH('Карта учёта'!$B$20,Расходка[[#This Row],[Наименование расходного материала]])),MAX($L$1:L52)+1,0)</f>
        <v>0</v>
      </c>
      <c r="M53" s="115">
        <f>IF(ISNUMBER(SEARCH('Карта учёта'!$B$21,Расходка[[#This Row],[Наименование расходного материала]])),MAX($M$1:M52)+1,0)</f>
        <v>52</v>
      </c>
      <c r="N53" s="115">
        <f>IF(ISNUMBER(SEARCH('Карта учёта'!$B$22,Расходка[[#This Row],[Наименование расходного материала]])),MAX($N$1:N52)+1,0)</f>
        <v>52</v>
      </c>
      <c r="O53" s="115">
        <f>IF(ISNUMBER(SEARCH('Карта учёта'!$B$23,Расходка[[#This Row],[Наименование расходного материала]])),MAX($O$1:O52)+1,0)</f>
        <v>52</v>
      </c>
      <c r="P53" s="115">
        <f>IF(ISNUMBER(SEARCH('Карта учёта'!$B$24,Расходка[[#This Row],[Наименование расходного материала]])),MAX($P$1:P52)+1,0)</f>
        <v>52</v>
      </c>
      <c r="Q53" s="115">
        <f>IF(ISNUMBER(SEARCH('Карта учёта'!$B$25,Расходка[[#This Row],[Наименование расходного материала]])),MAX($Q$1:Q52)+1,0)</f>
        <v>52</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c>
      <c r="U53" s="114" t="str">
        <f>IFERROR(INDEX(Расходка[Наименование расходного материала],MATCH(Расходка[[#This Row],[№]],Поиск_расходки[Индекс4],0)),"")</f>
        <v/>
      </c>
      <c r="V53" s="114" t="str">
        <f>IFERROR(INDEX(Расходка[Наименование расходного материала],MATCH(Расходка[[#This Row],[№]],Поиск_расходки[Индекс5],0)),"")</f>
        <v/>
      </c>
      <c r="W53" s="114" t="str">
        <f>IFERROR(INDEX(Расходка[Наименование расходного материала],MATCH(Расходка[[#This Row],[№]],Поиск_расходки[Индекс6],0)),"")</f>
        <v/>
      </c>
      <c r="X53" s="114" t="str">
        <f>IFERROR(INDEX(Расходка[Наименование расходного материала],MATCH(Расходка[[#This Row],[№]],Поиск_расходки[Индекс7],0)),"")</f>
        <v/>
      </c>
      <c r="Y53" s="114" t="str">
        <f>IFERROR(INDEX(Расходка[Наименование расходного материала],MATCH(Расходка[[#This Row],[№]],Поиск_расходки[Индекс8],0)),"")</f>
        <v/>
      </c>
      <c r="Z53" s="114" t="str">
        <f>IFERROR(INDEX(Расходка[Наименование расходного материала],MATCH(Расходка[[#This Row],[№]],Поиск_расходки[Индекс9],0)),"")</f>
        <v xml:space="preserve">Balancium </v>
      </c>
      <c r="AA53" s="114" t="str">
        <f>IFERROR(INDEX(Расходка[Наименование расходного материала],MATCH(Расходка[[#This Row],[№]],Поиск_расходки[Индекс10],0)),"")</f>
        <v xml:space="preserve">Balancium </v>
      </c>
      <c r="AB53" s="114" t="str">
        <f>IFERROR(INDEX(Расходка[Наименование расходного материала],MATCH(Расходка[[#This Row],[№]],Поиск_расходки[Индекс11],0)),"")</f>
        <v xml:space="preserve">Balancium </v>
      </c>
      <c r="AC53" s="114" t="str">
        <f>IFERROR(INDEX(Расходка[Наименование расходного материала],MATCH(Расходка[[#This Row],[№]],Поиск_расходки[Индекс12],0)),"")</f>
        <v xml:space="preserve">Balancium </v>
      </c>
      <c r="AD53" s="114" t="str">
        <f>IFERROR(INDEX(Расходка[Наименование расходного материала],MATCH(Расходка[[#This Row],[№]],Поиск_расходки[Индекс13],0)),"")</f>
        <v xml:space="preserve">Balancium </v>
      </c>
      <c r="AF53" s="4" t="s">
        <v>6</v>
      </c>
      <c r="AG53" s="4" t="s">
        <v>445</v>
      </c>
    </row>
    <row r="54" spans="1:33">
      <c r="A54">
        <f>ROW(Расходка[[#This Row],[Тип расходного материала ]])-1</f>
        <v>53</v>
      </c>
      <c r="B54" t="s">
        <v>3</v>
      </c>
      <c r="C54" t="s">
        <v>517</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1</v>
      </c>
      <c r="H54" s="115">
        <f>IF(ISNUMBER(SEARCH('Карта учёта'!$B$16,Расходка[[#This Row],[Наименование расходного материала]])),MAX($H$1:H53)+1,0)</f>
        <v>0</v>
      </c>
      <c r="I54" s="115">
        <f>IF(ISNUMBER(SEARCH('Карта учёта'!$B$17,Расходка[[#This Row],[Наименование расходного материала]])),MAX($I$1:I53)+1,0)</f>
        <v>0</v>
      </c>
      <c r="J54" s="115">
        <f>IF(ISNUMBER(SEARCH('Карта учёта'!$B$18,Расходка[[#This Row],[Наименование расходного материала]])),MAX($J$1:J53)+1,0)</f>
        <v>0</v>
      </c>
      <c r="K54" s="115">
        <f>IF(ISNUMBER(SEARCH('Карта учёта'!$B$19,Расходка[[#This Row],[Наименование расходного материала]])),MAX($K$1:K53)+1,0)</f>
        <v>0</v>
      </c>
      <c r="L54" s="115">
        <f>IF(ISNUMBER(SEARCH('Карта учёта'!$B$20,Расходка[[#This Row],[Наименование расходного материала]])),MAX($L$1:L53)+1,0)</f>
        <v>0</v>
      </c>
      <c r="M54" s="115">
        <f>IF(ISNUMBER(SEARCH('Карта учёта'!$B$21,Расходка[[#This Row],[Наименование расходного материала]])),MAX($M$1:M53)+1,0)</f>
        <v>53</v>
      </c>
      <c r="N54" s="115">
        <f>IF(ISNUMBER(SEARCH('Карта учёта'!$B$22,Расходка[[#This Row],[Наименование расходного материала]])),MAX($N$1:N53)+1,0)</f>
        <v>53</v>
      </c>
      <c r="O54" s="115">
        <f>IF(ISNUMBER(SEARCH('Карта учёта'!$B$23,Расходка[[#This Row],[Наименование расходного материала]])),MAX($O$1:O53)+1,0)</f>
        <v>53</v>
      </c>
      <c r="P54" s="115">
        <f>IF(ISNUMBER(SEARCH('Карта учёта'!$B$24,Расходка[[#This Row],[Наименование расходного материала]])),MAX($P$1:P53)+1,0)</f>
        <v>53</v>
      </c>
      <c r="Q54" s="115">
        <f>IF(ISNUMBER(SEARCH('Карта учёта'!$B$25,Расходка[[#This Row],[Наименование расходного материала]])),MAX($Q$1:Q53)+1,0)</f>
        <v>53</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
      </c>
      <c r="U54" s="114" t="str">
        <f>IFERROR(INDEX(Расходка[Наименование расходного материала],MATCH(Расходка[[#This Row],[№]],Поиск_расходки[Индекс4],0)),"")</f>
        <v/>
      </c>
      <c r="V54" s="114" t="str">
        <f>IFERROR(INDEX(Расходка[Наименование расходного материала],MATCH(Расходка[[#This Row],[№]],Поиск_расходки[Индекс5],0)),"")</f>
        <v/>
      </c>
      <c r="W54" s="114" t="str">
        <f>IFERROR(INDEX(Расходка[Наименование расходного материала],MATCH(Расходка[[#This Row],[№]],Поиск_расходки[Индекс6],0)),"")</f>
        <v/>
      </c>
      <c r="X54" s="114" t="str">
        <f>IFERROR(INDEX(Расходка[Наименование расходного материала],MATCH(Расходка[[#This Row],[№]],Поиск_расходки[Индекс7],0)),"")</f>
        <v/>
      </c>
      <c r="Y54" s="114" t="str">
        <f>IFERROR(INDEX(Расходка[Наименование расходного материала],MATCH(Расходка[[#This Row],[№]],Поиск_расходки[Индекс8],0)),"")</f>
        <v/>
      </c>
      <c r="Z54" s="114" t="str">
        <f>IFERROR(INDEX(Расходка[Наименование расходного материала],MATCH(Расходка[[#This Row],[№]],Поиск_расходки[Индекс9],0)),"")</f>
        <v>Shunmei</v>
      </c>
      <c r="AA54" s="114" t="str">
        <f>IFERROR(INDEX(Расходка[Наименование расходного материала],MATCH(Расходка[[#This Row],[№]],Поиск_расходки[Индекс10],0)),"")</f>
        <v>Shunmei</v>
      </c>
      <c r="AB54" s="114" t="str">
        <f>IFERROR(INDEX(Расходка[Наименование расходного материала],MATCH(Расходка[[#This Row],[№]],Поиск_расходки[Индекс11],0)),"")</f>
        <v>Shunmei</v>
      </c>
      <c r="AC54" s="114" t="str">
        <f>IFERROR(INDEX(Расходка[Наименование расходного материала],MATCH(Расходка[[#This Row],[№]],Поиск_расходки[Индекс12],0)),"")</f>
        <v>Shunmei</v>
      </c>
      <c r="AD54" s="114" t="str">
        <f>IFERROR(INDEX(Расходка[Наименование расходного материала],MATCH(Расходка[[#This Row],[№]],Поиск_расходки[Индекс13],0)),"")</f>
        <v>Shunmei</v>
      </c>
      <c r="AF54" s="4" t="s">
        <v>6</v>
      </c>
      <c r="AG54" s="4" t="s">
        <v>446</v>
      </c>
    </row>
    <row r="55" spans="1:33">
      <c r="A55">
        <f>ROW(Расходка[[#This Row],[Тип расходного материала ]])-1</f>
        <v>54</v>
      </c>
      <c r="B55" t="s">
        <v>3</v>
      </c>
      <c r="C55" t="s">
        <v>521</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0</v>
      </c>
      <c r="G55" s="115">
        <f>IF(ISNUMBER(SEARCH('Карта учёта'!$B$15,Расходка[[#This Row],[Наименование расходного материала]])),MAX($G$1:G54)+1,0)</f>
        <v>0</v>
      </c>
      <c r="H55" s="115">
        <f>IF(ISNUMBER(SEARCH('Карта учёта'!$B$16,Расходка[[#This Row],[Наименование расходного материала]])),MAX($H$1:H54)+1,0)</f>
        <v>0</v>
      </c>
      <c r="I55" s="115">
        <f>IF(ISNUMBER(SEARCH('Карта учёта'!$B$17,Расходка[[#This Row],[Наименование расходного материала]])),MAX($I$1:I54)+1,0)</f>
        <v>0</v>
      </c>
      <c r="J55" s="115">
        <f>IF(ISNUMBER(SEARCH('Карта учёта'!$B$18,Расходка[[#This Row],[Наименование расходного материала]])),MAX($J$1:J54)+1,0)</f>
        <v>0</v>
      </c>
      <c r="K55" s="115">
        <f>IF(ISNUMBER(SEARCH('Карта учёта'!$B$19,Расходка[[#This Row],[Наименование расходного материала]])),MAX($K$1:K54)+1,0)</f>
        <v>0</v>
      </c>
      <c r="L55" s="115">
        <f>IF(ISNUMBER(SEARCH('Карта учёта'!$B$20,Расходка[[#This Row],[Наименование расходного материала]])),MAX($L$1:L54)+1,0)</f>
        <v>0</v>
      </c>
      <c r="M55" s="115">
        <f>IF(ISNUMBER(SEARCH('Карта учёта'!$B$21,Расходка[[#This Row],[Наименование расходного материала]])),MAX($M$1:M54)+1,0)</f>
        <v>54</v>
      </c>
      <c r="N55" s="115">
        <f>IF(ISNUMBER(SEARCH('Карта учёта'!$B$22,Расходка[[#This Row],[Наименование расходного материала]])),MAX($N$1:N54)+1,0)</f>
        <v>54</v>
      </c>
      <c r="O55" s="115">
        <f>IF(ISNUMBER(SEARCH('Карта учёта'!$B$23,Расходка[[#This Row],[Наименование расходного материала]])),MAX($O$1:O54)+1,0)</f>
        <v>54</v>
      </c>
      <c r="P55" s="115">
        <f>IF(ISNUMBER(SEARCH('Карта учёта'!$B$24,Расходка[[#This Row],[Наименование расходного материала]])),MAX($P$1:P54)+1,0)</f>
        <v>54</v>
      </c>
      <c r="Q55" s="115">
        <f>IF(ISNUMBER(SEARCH('Карта учёта'!$B$25,Расходка[[#This Row],[Наименование расходного материала]])),MAX($Q$1:Q54)+1,0)</f>
        <v>54</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
      </c>
      <c r="U55" s="114" t="str">
        <f>IFERROR(INDEX(Расходка[Наименование расходного материала],MATCH(Расходка[[#This Row],[№]],Поиск_расходки[Индекс4],0)),"")</f>
        <v/>
      </c>
      <c r="V55" s="114" t="str">
        <f>IFERROR(INDEX(Расходка[Наименование расходного материала],MATCH(Расходка[[#This Row],[№]],Поиск_расходки[Индекс5],0)),"")</f>
        <v/>
      </c>
      <c r="W55" s="114" t="str">
        <f>IFERROR(INDEX(Расходка[Наименование расходного материала],MATCH(Расходка[[#This Row],[№]],Поиск_расходки[Индекс6],0)),"")</f>
        <v/>
      </c>
      <c r="X55" s="114" t="str">
        <f>IFERROR(INDEX(Расходка[Наименование расходного материала],MATCH(Расходка[[#This Row],[№]],Поиск_расходки[Индекс7],0)),"")</f>
        <v/>
      </c>
      <c r="Y55" s="114" t="str">
        <f>IFERROR(INDEX(Расходка[Наименование расходного материала],MATCH(Расходка[[#This Row],[№]],Поиск_расходки[Индекс8],0)),"")</f>
        <v/>
      </c>
      <c r="Z55" s="114" t="str">
        <f>IFERROR(INDEX(Расходка[Наименование расходного материала],MATCH(Расходка[[#This Row],[№]],Поиск_расходки[Индекс9],0)),"")</f>
        <v>Pilot 150, 190 cm</v>
      </c>
      <c r="AA55" s="114" t="str">
        <f>IFERROR(INDEX(Расходка[Наименование расходного материала],MATCH(Расходка[[#This Row],[№]],Поиск_расходки[Индекс10],0)),"")</f>
        <v>Pilot 150, 190 cm</v>
      </c>
      <c r="AB55" s="114" t="str">
        <f>IFERROR(INDEX(Расходка[Наименование расходного материала],MATCH(Расходка[[#This Row],[№]],Поиск_расходки[Индекс11],0)),"")</f>
        <v>Pilot 150, 190 cm</v>
      </c>
      <c r="AC55" s="114" t="str">
        <f>IFERROR(INDEX(Расходка[Наименование расходного материала],MATCH(Расходка[[#This Row],[№]],Поиск_расходки[Индекс12],0)),"")</f>
        <v>Pilot 150, 190 cm</v>
      </c>
      <c r="AD55" s="114" t="str">
        <f>IFERROR(INDEX(Расходка[Наименование расходного материала],MATCH(Расходка[[#This Row],[№]],Поиск_расходки[Индекс13],0)),"")</f>
        <v>Pilot 150, 190 cm</v>
      </c>
      <c r="AF55" s="4" t="s">
        <v>6</v>
      </c>
      <c r="AG55" s="4" t="s">
        <v>447</v>
      </c>
    </row>
    <row r="56" spans="1:33">
      <c r="A56">
        <f>ROW(Расходка[[#This Row],[Тип расходного материала ]])-1</f>
        <v>55</v>
      </c>
      <c r="B56" t="s">
        <v>3</v>
      </c>
      <c r="C56" t="s">
        <v>522</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0</v>
      </c>
      <c r="H56" s="115">
        <f>IF(ISNUMBER(SEARCH('Карта учёта'!$B$16,Расходка[[#This Row],[Наименование расходного материала]])),MAX($H$1:H55)+1,0)</f>
        <v>0</v>
      </c>
      <c r="I56" s="115">
        <f>IF(ISNUMBER(SEARCH('Карта учёта'!$B$17,Расходка[[#This Row],[Наименование расходного материала]])),MAX($I$1:I55)+1,0)</f>
        <v>0</v>
      </c>
      <c r="J56" s="115">
        <f>IF(ISNUMBER(SEARCH('Карта учёта'!$B$18,Расходка[[#This Row],[Наименование расходного материала]])),MAX($J$1:J55)+1,0)</f>
        <v>0</v>
      </c>
      <c r="K56" s="115">
        <f>IF(ISNUMBER(SEARCH('Карта учёта'!$B$19,Расходка[[#This Row],[Наименование расходного материала]])),MAX($K$1:K55)+1,0)</f>
        <v>0</v>
      </c>
      <c r="L56" s="115">
        <f>IF(ISNUMBER(SEARCH('Карта учёта'!$B$20,Расходка[[#This Row],[Наименование расходного материала]])),MAX($L$1:L55)+1,0)</f>
        <v>0</v>
      </c>
      <c r="M56" s="115">
        <f>IF(ISNUMBER(SEARCH('Карта учёта'!$B$21,Расходка[[#This Row],[Наименование расходного материала]])),MAX($M$1:M55)+1,0)</f>
        <v>55</v>
      </c>
      <c r="N56" s="115">
        <f>IF(ISNUMBER(SEARCH('Карта учёта'!$B$22,Расходка[[#This Row],[Наименование расходного материала]])),MAX($N$1:N55)+1,0)</f>
        <v>55</v>
      </c>
      <c r="O56" s="115">
        <f>IF(ISNUMBER(SEARCH('Карта учёта'!$B$23,Расходка[[#This Row],[Наименование расходного материала]])),MAX($O$1:O55)+1,0)</f>
        <v>55</v>
      </c>
      <c r="P56" s="115">
        <f>IF(ISNUMBER(SEARCH('Карта учёта'!$B$24,Расходка[[#This Row],[Наименование расходного материала]])),MAX($P$1:P55)+1,0)</f>
        <v>55</v>
      </c>
      <c r="Q56" s="115">
        <f>IF(ISNUMBER(SEARCH('Карта учёта'!$B$25,Расходка[[#This Row],[Наименование расходного материала]])),MAX($Q$1:Q55)+1,0)</f>
        <v>55</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
      </c>
      <c r="U56" s="114" t="str">
        <f>IFERROR(INDEX(Расходка[Наименование расходного материала],MATCH(Расходка[[#This Row],[№]],Поиск_расходки[Индекс4],0)),"")</f>
        <v/>
      </c>
      <c r="V56" s="114" t="str">
        <f>IFERROR(INDEX(Расходка[Наименование расходного материала],MATCH(Расходка[[#This Row],[№]],Поиск_расходки[Индекс5],0)),"")</f>
        <v/>
      </c>
      <c r="W56" s="114" t="str">
        <f>IFERROR(INDEX(Расходка[Наименование расходного материала],MATCH(Расходка[[#This Row],[№]],Поиск_расходки[Индекс6],0)),"")</f>
        <v/>
      </c>
      <c r="X56" s="114" t="str">
        <f>IFERROR(INDEX(Расходка[Наименование расходного материала],MATCH(Расходка[[#This Row],[№]],Поиск_расходки[Индекс7],0)),"")</f>
        <v/>
      </c>
      <c r="Y56" s="114" t="str">
        <f>IFERROR(INDEX(Расходка[Наименование расходного материала],MATCH(Расходка[[#This Row],[№]],Поиск_расходки[Индекс8],0)),"")</f>
        <v/>
      </c>
      <c r="Z56" s="114" t="str">
        <f>IFERROR(INDEX(Расходка[Наименование расходного материала],MATCH(Расходка[[#This Row],[№]],Поиск_расходки[Индекс9],0)),"")</f>
        <v>Pilot 150, 300 cm</v>
      </c>
      <c r="AA56" s="114" t="str">
        <f>IFERROR(INDEX(Расходка[Наименование расходного материала],MATCH(Расходка[[#This Row],[№]],Поиск_расходки[Индекс10],0)),"")</f>
        <v>Pilot 150, 300 cm</v>
      </c>
      <c r="AB56" s="114" t="str">
        <f>IFERROR(INDEX(Расходка[Наименование расходного материала],MATCH(Расходка[[#This Row],[№]],Поиск_расходки[Индекс11],0)),"")</f>
        <v>Pilot 150, 300 cm</v>
      </c>
      <c r="AC56" s="114" t="str">
        <f>IFERROR(INDEX(Расходка[Наименование расходного материала],MATCH(Расходка[[#This Row],[№]],Поиск_расходки[Индекс12],0)),"")</f>
        <v>Pilot 150, 300 cm</v>
      </c>
      <c r="AD56" s="114" t="str">
        <f>IFERROR(INDEX(Расходка[Наименование расходного материала],MATCH(Расходка[[#This Row],[№]],Поиск_расходки[Индекс13],0)),"")</f>
        <v>Pilot 150, 300 cm</v>
      </c>
      <c r="AF56" s="4" t="s">
        <v>6</v>
      </c>
      <c r="AG56" s="4" t="s">
        <v>448</v>
      </c>
    </row>
    <row r="57" spans="1:33">
      <c r="A57">
        <f>ROW(Расходка[[#This Row],[Тип расходного материала ]])-1</f>
        <v>56</v>
      </c>
      <c r="B57" t="s">
        <v>6</v>
      </c>
      <c r="C57" s="1" t="s">
        <v>278</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0</v>
      </c>
      <c r="H57" s="115">
        <f>IF(ISNUMBER(SEARCH('Карта учёта'!$B$16,Расходка[[#This Row],[Наименование расходного материала]])),MAX($H$1:H56)+1,0)</f>
        <v>0</v>
      </c>
      <c r="I57" s="115">
        <f>IF(ISNUMBER(SEARCH('Карта учёта'!$B$17,Расходка[[#This Row],[Наименование расходного материала]])),MAX($I$1:I56)+1,0)</f>
        <v>0</v>
      </c>
      <c r="J57" s="115">
        <f>IF(ISNUMBER(SEARCH('Карта учёта'!$B$18,Расходка[[#This Row],[Наименование расходного материала]])),MAX($J$1:J56)+1,0)</f>
        <v>0</v>
      </c>
      <c r="K57" s="115">
        <f>IF(ISNUMBER(SEARCH('Карта учёта'!$B$19,Расходка[[#This Row],[Наименование расходного материала]])),MAX($K$1:K56)+1,0)</f>
        <v>0</v>
      </c>
      <c r="L57" s="115">
        <f>IF(ISNUMBER(SEARCH('Карта учёта'!$B$20,Расходка[[#This Row],[Наименование расходного материала]])),MAX($L$1:L56)+1,0)</f>
        <v>0</v>
      </c>
      <c r="M57" s="115">
        <f>IF(ISNUMBER(SEARCH('Карта учёта'!$B$21,Расходка[[#This Row],[Наименование расходного материала]])),MAX($M$1:M56)+1,0)</f>
        <v>56</v>
      </c>
      <c r="N57" s="115">
        <f>IF(ISNUMBER(SEARCH('Карта учёта'!$B$22,Расходка[[#This Row],[Наименование расходного материала]])),MAX($N$1:N56)+1,0)</f>
        <v>56</v>
      </c>
      <c r="O57" s="115">
        <f>IF(ISNUMBER(SEARCH('Карта учёта'!$B$23,Расходка[[#This Row],[Наименование расходного материала]])),MAX($O$1:O56)+1,0)</f>
        <v>56</v>
      </c>
      <c r="P57" s="115">
        <f>IF(ISNUMBER(SEARCH('Карта учёта'!$B$24,Расходка[[#This Row],[Наименование расходного материала]])),MAX($P$1:P56)+1,0)</f>
        <v>56</v>
      </c>
      <c r="Q57" s="115">
        <f>IF(ISNUMBER(SEARCH('Карта учёта'!$B$25,Расходка[[#This Row],[Наименование расходного материала]])),MAX($Q$1:Q56)+1,0)</f>
        <v>56</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
      </c>
      <c r="U57" s="114" t="str">
        <f>IFERROR(INDEX(Расходка[Наименование расходного материала],MATCH(Расходка[[#This Row],[№]],Поиск_расходки[Индекс4],0)),"")</f>
        <v/>
      </c>
      <c r="V57" s="114" t="str">
        <f>IFERROR(INDEX(Расходка[Наименование расходного материала],MATCH(Расходка[[#This Row],[№]],Поиск_расходки[Индекс5],0)),"")</f>
        <v/>
      </c>
      <c r="W57" s="114" t="str">
        <f>IFERROR(INDEX(Расходка[Наименование расходного материала],MATCH(Расходка[[#This Row],[№]],Поиск_расходки[Индекс6],0)),"")</f>
        <v/>
      </c>
      <c r="X57" s="114" t="str">
        <f>IFERROR(INDEX(Расходка[Наименование расходного материала],MATCH(Расходка[[#This Row],[№]],Поиск_расходки[Индекс7],0)),"")</f>
        <v/>
      </c>
      <c r="Y57" s="114" t="str">
        <f>IFERROR(INDEX(Расходка[Наименование расходного материала],MATCH(Расходка[[#This Row],[№]],Поиск_расходки[Индекс8],0)),"")</f>
        <v/>
      </c>
      <c r="Z57" s="114" t="str">
        <f>IFERROR(INDEX(Расходка[Наименование расходного материала],MATCH(Расходка[[#This Row],[№]],Поиск_расходки[Индекс9],0)),"")</f>
        <v>BMS, Integtity</v>
      </c>
      <c r="AA57" s="114" t="str">
        <f>IFERROR(INDEX(Расходка[Наименование расходного материала],MATCH(Расходка[[#This Row],[№]],Поиск_расходки[Индекс10],0)),"")</f>
        <v>BMS, Integtity</v>
      </c>
      <c r="AB57" s="114" t="str">
        <f>IFERROR(INDEX(Расходка[Наименование расходного материала],MATCH(Расходка[[#This Row],[№]],Поиск_расходки[Индекс11],0)),"")</f>
        <v>BMS, Integtity</v>
      </c>
      <c r="AC57" s="114" t="str">
        <f>IFERROR(INDEX(Расходка[Наименование расходного материала],MATCH(Расходка[[#This Row],[№]],Поиск_расходки[Индекс12],0)),"")</f>
        <v>BMS, Integtity</v>
      </c>
      <c r="AD57" s="114" t="str">
        <f>IFERROR(INDEX(Расходка[Наименование расходного материала],MATCH(Расходка[[#This Row],[№]],Поиск_расходки[Индекс13],0)),"")</f>
        <v>BMS, Integtity</v>
      </c>
      <c r="AF57" s="4" t="s">
        <v>6</v>
      </c>
      <c r="AG57" s="4" t="s">
        <v>449</v>
      </c>
    </row>
    <row r="58" spans="1:33">
      <c r="A58">
        <f>ROW(Расходка[[#This Row],[Тип расходного материала ]])-1</f>
        <v>57</v>
      </c>
      <c r="B58" t="s">
        <v>6</v>
      </c>
      <c r="C58" s="155" t="s">
        <v>344</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0</v>
      </c>
      <c r="H58" s="115">
        <f>IF(ISNUMBER(SEARCH('Карта учёта'!$B$16,Расходка[[#This Row],[Наименование расходного материала]])),MAX($H$1:H57)+1,0)</f>
        <v>0</v>
      </c>
      <c r="I58" s="115">
        <f>IF(ISNUMBER(SEARCH('Карта учёта'!$B$17,Расходка[[#This Row],[Наименование расходного материала]])),MAX($I$1:I57)+1,0)</f>
        <v>0</v>
      </c>
      <c r="J58" s="115">
        <f>IF(ISNUMBER(SEARCH('Карта учёта'!$B$18,Расходка[[#This Row],[Наименование расходного материала]])),MAX($J$1:J57)+1,0)</f>
        <v>0</v>
      </c>
      <c r="K58" s="115">
        <f>IF(ISNUMBER(SEARCH('Карта учёта'!$B$19,Расходка[[#This Row],[Наименование расходного материала]])),MAX($K$1:K57)+1,0)</f>
        <v>0</v>
      </c>
      <c r="L58" s="115">
        <f>IF(ISNUMBER(SEARCH('Карта учёта'!$B$20,Расходка[[#This Row],[Наименование расходного материала]])),MAX($L$1:L57)+1,0)</f>
        <v>0</v>
      </c>
      <c r="M58" s="115">
        <f>IF(ISNUMBER(SEARCH('Карта учёта'!$B$21,Расходка[[#This Row],[Наименование расходного материала]])),MAX($M$1:M57)+1,0)</f>
        <v>57</v>
      </c>
      <c r="N58" s="115">
        <f>IF(ISNUMBER(SEARCH('Карта учёта'!$B$22,Расходка[[#This Row],[Наименование расходного материала]])),MAX($N$1:N57)+1,0)</f>
        <v>57</v>
      </c>
      <c r="O58" s="115">
        <f>IF(ISNUMBER(SEARCH('Карта учёта'!$B$23,Расходка[[#This Row],[Наименование расходного материала]])),MAX($O$1:O57)+1,0)</f>
        <v>57</v>
      </c>
      <c r="P58" s="115">
        <f>IF(ISNUMBER(SEARCH('Карта учёта'!$B$24,Расходка[[#This Row],[Наименование расходного материала]])),MAX($P$1:P57)+1,0)</f>
        <v>57</v>
      </c>
      <c r="Q58" s="115">
        <f>IF(ISNUMBER(SEARCH('Карта учёта'!$B$25,Расходка[[#This Row],[Наименование расходного материала]])),MAX($Q$1:Q57)+1,0)</f>
        <v>57</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
      </c>
      <c r="U58" s="114" t="str">
        <f>IFERROR(INDEX(Расходка[Наименование расходного материала],MATCH(Расходка[[#This Row],[№]],Поиск_расходки[Индекс4],0)),"")</f>
        <v/>
      </c>
      <c r="V58" s="114" t="str">
        <f>IFERROR(INDEX(Расходка[Наименование расходного материала],MATCH(Расходка[[#This Row],[№]],Поиск_расходки[Индекс5],0)),"")</f>
        <v/>
      </c>
      <c r="W58" s="114" t="str">
        <f>IFERROR(INDEX(Расходка[Наименование расходного материала],MATCH(Расходка[[#This Row],[№]],Поиск_расходки[Индекс6],0)),"")</f>
        <v/>
      </c>
      <c r="X58" s="114" t="str">
        <f>IFERROR(INDEX(Расходка[Наименование расходного материала],MATCH(Расходка[[#This Row],[№]],Поиск_расходки[Индекс7],0)),"")</f>
        <v/>
      </c>
      <c r="Y58" s="114" t="str">
        <f>IFERROR(INDEX(Расходка[Наименование расходного материала],MATCH(Расходка[[#This Row],[№]],Поиск_расходки[Индекс8],0)),"")</f>
        <v/>
      </c>
      <c r="Z58" s="114" t="str">
        <f>IFERROR(INDEX(Расходка[Наименование расходного материала],MATCH(Расходка[[#This Row],[№]],Поиск_расходки[Индекс9],0)),"")</f>
        <v>DES, Calipso</v>
      </c>
      <c r="AA58" s="114" t="str">
        <f>IFERROR(INDEX(Расходка[Наименование расходного материала],MATCH(Расходка[[#This Row],[№]],Поиск_расходки[Индекс10],0)),"")</f>
        <v>DES, Calipso</v>
      </c>
      <c r="AB58" s="114" t="str">
        <f>IFERROR(INDEX(Расходка[Наименование расходного материала],MATCH(Расходка[[#This Row],[№]],Поиск_расходки[Индекс11],0)),"")</f>
        <v>DES, Calipso</v>
      </c>
      <c r="AC58" s="114" t="str">
        <f>IFERROR(INDEX(Расходка[Наименование расходного материала],MATCH(Расходка[[#This Row],[№]],Поиск_расходки[Индекс12],0)),"")</f>
        <v>DES, Calipso</v>
      </c>
      <c r="AD58" s="114" t="str">
        <f>IFERROR(INDEX(Расходка[Наименование расходного материала],MATCH(Расходка[[#This Row],[№]],Поиск_расходки[Индекс13],0)),"")</f>
        <v>DES, Calipso</v>
      </c>
      <c r="AF58" s="4" t="s">
        <v>6</v>
      </c>
      <c r="AG58" s="4" t="s">
        <v>450</v>
      </c>
    </row>
    <row r="59" spans="1:33">
      <c r="A59">
        <f>ROW(Расходка[[#This Row],[Тип расходного материала ]])-1</f>
        <v>58</v>
      </c>
      <c r="B59" t="s">
        <v>6</v>
      </c>
      <c r="C59" s="213" t="s">
        <v>529</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0</v>
      </c>
      <c r="H59" s="115">
        <f>IF(ISNUMBER(SEARCH('Карта учёта'!$B$16,Расходка[[#This Row],[Наименование расходного материала]])),MAX($H$1:H58)+1,0)</f>
        <v>0</v>
      </c>
      <c r="I59" s="115">
        <f>IF(ISNUMBER(SEARCH('Карта учёта'!$B$17,Расходка[[#This Row],[Наименование расходного материала]])),MAX($I$1:I58)+1,0)</f>
        <v>0</v>
      </c>
      <c r="J59" s="115">
        <f>IF(ISNUMBER(SEARCH('Карта учёта'!$B$18,Расходка[[#This Row],[Наименование расходного материала]])),MAX($J$1:J58)+1,0)</f>
        <v>0</v>
      </c>
      <c r="K59" s="115">
        <f>IF(ISNUMBER(SEARCH('Карта учёта'!$B$19,Расходка[[#This Row],[Наименование расходного материала]])),MAX($K$1:K58)+1,0)</f>
        <v>0</v>
      </c>
      <c r="L59" s="115">
        <f>IF(ISNUMBER(SEARCH('Карта учёта'!$B$20,Расходка[[#This Row],[Наименование расходного материала]])),MAX($L$1:L58)+1,0)</f>
        <v>0</v>
      </c>
      <c r="M59" s="115">
        <f>IF(ISNUMBER(SEARCH('Карта учёта'!$B$21,Расходка[[#This Row],[Наименование расходного материала]])),MAX($M$1:M58)+1,0)</f>
        <v>58</v>
      </c>
      <c r="N59" s="115">
        <f>IF(ISNUMBER(SEARCH('Карта учёта'!$B$22,Расходка[[#This Row],[Наименование расходного материала]])),MAX($N$1:N58)+1,0)</f>
        <v>58</v>
      </c>
      <c r="O59" s="115">
        <f>IF(ISNUMBER(SEARCH('Карта учёта'!$B$23,Расходка[[#This Row],[Наименование расходного материала]])),MAX($O$1:O58)+1,0)</f>
        <v>58</v>
      </c>
      <c r="P59" s="115">
        <f>IF(ISNUMBER(SEARCH('Карта учёта'!$B$24,Расходка[[#This Row],[Наименование расходного материала]])),MAX($P$1:P58)+1,0)</f>
        <v>58</v>
      </c>
      <c r="Q59" s="115">
        <f>IF(ISNUMBER(SEARCH('Карта учёта'!$B$25,Расходка[[#This Row],[Наименование расходного материала]])),MAX($Q$1:Q58)+1,0)</f>
        <v>58</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
      </c>
      <c r="U59" s="114" t="str">
        <f>IFERROR(INDEX(Расходка[Наименование расходного материала],MATCH(Расходка[[#This Row],[№]],Поиск_расходки[Индекс4],0)),"")</f>
        <v/>
      </c>
      <c r="V59" s="114" t="str">
        <f>IFERROR(INDEX(Расходка[Наименование расходного материала],MATCH(Расходка[[#This Row],[№]],Поиск_расходки[Индекс5],0)),"")</f>
        <v/>
      </c>
      <c r="W59" s="114" t="str">
        <f>IFERROR(INDEX(Расходка[Наименование расходного материала],MATCH(Расходка[[#This Row],[№]],Поиск_расходки[Индекс6],0)),"")</f>
        <v/>
      </c>
      <c r="X59" s="114" t="str">
        <f>IFERROR(INDEX(Расходка[Наименование расходного материала],MATCH(Расходка[[#This Row],[№]],Поиск_расходки[Индекс7],0)),"")</f>
        <v/>
      </c>
      <c r="Y59" s="114" t="str">
        <f>IFERROR(INDEX(Расходка[Наименование расходного материала],MATCH(Расходка[[#This Row],[№]],Поиск_расходки[Индекс8],0)),"")</f>
        <v/>
      </c>
      <c r="Z59" s="114" t="str">
        <f>IFERROR(INDEX(Расходка[Наименование расходного материала],MATCH(Расходка[[#This Row],[№]],Поиск_расходки[Индекс9],0)),"")</f>
        <v>DES, Metafor</v>
      </c>
      <c r="AA59" s="114" t="str">
        <f>IFERROR(INDEX(Расходка[Наименование расходного материала],MATCH(Расходка[[#This Row],[№]],Поиск_расходки[Индекс10],0)),"")</f>
        <v>DES, Metafor</v>
      </c>
      <c r="AB59" s="114" t="str">
        <f>IFERROR(INDEX(Расходка[Наименование расходного материала],MATCH(Расходка[[#This Row],[№]],Поиск_расходки[Индекс11],0)),"")</f>
        <v>DES, Metafor</v>
      </c>
      <c r="AC59" s="114" t="str">
        <f>IFERROR(INDEX(Расходка[Наименование расходного материала],MATCH(Расходка[[#This Row],[№]],Поиск_расходки[Индекс12],0)),"")</f>
        <v>DES, Metafor</v>
      </c>
      <c r="AD59" s="114" t="str">
        <f>IFERROR(INDEX(Расходка[Наименование расходного материала],MATCH(Расходка[[#This Row],[№]],Поиск_расходки[Индекс13],0)),"")</f>
        <v>DES, Metafor</v>
      </c>
      <c r="AF59" s="4" t="s">
        <v>6</v>
      </c>
      <c r="AG59" s="4" t="s">
        <v>451</v>
      </c>
    </row>
    <row r="60" spans="1:33">
      <c r="A60">
        <f>ROW(Расходка[[#This Row],[Тип расходного материала ]])-1</f>
        <v>59</v>
      </c>
      <c r="B60" t="s">
        <v>6</v>
      </c>
      <c r="C60" s="155" t="s">
        <v>343</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0</v>
      </c>
      <c r="H60" s="115">
        <f>IF(ISNUMBER(SEARCH('Карта учёта'!$B$16,Расходка[[#This Row],[Наименование расходного материала]])),MAX($H$1:H59)+1,0)</f>
        <v>0</v>
      </c>
      <c r="I60" s="115">
        <f>IF(ISNUMBER(SEARCH('Карта учёта'!$B$17,Расходка[[#This Row],[Наименование расходного материала]])),MAX($I$1:I59)+1,0)</f>
        <v>0</v>
      </c>
      <c r="J60" s="115">
        <f>IF(ISNUMBER(SEARCH('Карта учёта'!$B$18,Расходка[[#This Row],[Наименование расходного материала]])),MAX($J$1:J59)+1,0)</f>
        <v>0</v>
      </c>
      <c r="K60" s="115">
        <f>IF(ISNUMBER(SEARCH('Карта учёта'!$B$19,Расходка[[#This Row],[Наименование расходного материала]])),MAX($K$1:K59)+1,0)</f>
        <v>0</v>
      </c>
      <c r="L60" s="115">
        <f>IF(ISNUMBER(SEARCH('Карта учёта'!$B$20,Расходка[[#This Row],[Наименование расходного материала]])),MAX($L$1:L59)+1,0)</f>
        <v>0</v>
      </c>
      <c r="M60" s="115">
        <f>IF(ISNUMBER(SEARCH('Карта учёта'!$B$21,Расходка[[#This Row],[Наименование расходного материала]])),MAX($M$1:M59)+1,0)</f>
        <v>59</v>
      </c>
      <c r="N60" s="115">
        <f>IF(ISNUMBER(SEARCH('Карта учёта'!$B$22,Расходка[[#This Row],[Наименование расходного материала]])),MAX($N$1:N59)+1,0)</f>
        <v>59</v>
      </c>
      <c r="O60" s="115">
        <f>IF(ISNUMBER(SEARCH('Карта учёта'!$B$23,Расходка[[#This Row],[Наименование расходного материала]])),MAX($O$1:O59)+1,0)</f>
        <v>59</v>
      </c>
      <c r="P60" s="115">
        <f>IF(ISNUMBER(SEARCH('Карта учёта'!$B$24,Расходка[[#This Row],[Наименование расходного материала]])),MAX($P$1:P59)+1,0)</f>
        <v>59</v>
      </c>
      <c r="Q60" s="115">
        <f>IF(ISNUMBER(SEARCH('Карта учёта'!$B$25,Расходка[[#This Row],[Наименование расходного материала]])),MAX($Q$1:Q59)+1,0)</f>
        <v>59</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
      </c>
      <c r="U60" s="114" t="str">
        <f>IFERROR(INDEX(Расходка[Наименование расходного материала],MATCH(Расходка[[#This Row],[№]],Поиск_расходки[Индекс4],0)),"")</f>
        <v/>
      </c>
      <c r="V60" s="114" t="str">
        <f>IFERROR(INDEX(Расходка[Наименование расходного материала],MATCH(Расходка[[#This Row],[№]],Поиск_расходки[Индекс5],0)),"")</f>
        <v/>
      </c>
      <c r="W60" s="114" t="str">
        <f>IFERROR(INDEX(Расходка[Наименование расходного материала],MATCH(Расходка[[#This Row],[№]],Поиск_расходки[Индекс6],0)),"")</f>
        <v/>
      </c>
      <c r="X60" s="114" t="str">
        <f>IFERROR(INDEX(Расходка[Наименование расходного материала],MATCH(Расходка[[#This Row],[№]],Поиск_расходки[Индекс7],0)),"")</f>
        <v/>
      </c>
      <c r="Y60" s="114" t="str">
        <f>IFERROR(INDEX(Расходка[Наименование расходного материала],MATCH(Расходка[[#This Row],[№]],Поиск_расходки[Индекс8],0)),"")</f>
        <v/>
      </c>
      <c r="Z60" s="114" t="str">
        <f>IFERROR(INDEX(Расходка[Наименование расходного материала],MATCH(Расходка[[#This Row],[№]],Поиск_расходки[Индекс9],0)),"")</f>
        <v>DES, NanoMed</v>
      </c>
      <c r="AA60" s="114" t="str">
        <f>IFERROR(INDEX(Расходка[Наименование расходного материала],MATCH(Расходка[[#This Row],[№]],Поиск_расходки[Индекс10],0)),"")</f>
        <v>DES, NanoMed</v>
      </c>
      <c r="AB60" s="114" t="str">
        <f>IFERROR(INDEX(Расходка[Наименование расходного материала],MATCH(Расходка[[#This Row],[№]],Поиск_расходки[Индекс11],0)),"")</f>
        <v>DES, NanoMed</v>
      </c>
      <c r="AC60" s="114" t="str">
        <f>IFERROR(INDEX(Расходка[Наименование расходного материала],MATCH(Расходка[[#This Row],[№]],Поиск_расходки[Индекс12],0)),"")</f>
        <v>DES, NanoMed</v>
      </c>
      <c r="AD60" s="114" t="str">
        <f>IFERROR(INDEX(Расходка[Наименование расходного материала],MATCH(Расходка[[#This Row],[№]],Поиск_расходки[Индекс13],0)),"")</f>
        <v>DES, NanoMed</v>
      </c>
      <c r="AF60" s="4" t="s">
        <v>6</v>
      </c>
      <c r="AG60" s="4" t="s">
        <v>452</v>
      </c>
    </row>
    <row r="61" spans="1:33">
      <c r="A61">
        <f>ROW(Расходка[[#This Row],[Тип расходного материала ]])-1</f>
        <v>60</v>
      </c>
      <c r="B61" t="s">
        <v>6</v>
      </c>
      <c r="C61" s="129" t="s">
        <v>322</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0</v>
      </c>
      <c r="H61" s="115">
        <f>IF(ISNUMBER(SEARCH('Карта учёта'!$B$16,Расходка[[#This Row],[Наименование расходного материала]])),MAX($H$1:H60)+1,0)</f>
        <v>0</v>
      </c>
      <c r="I61" s="115">
        <f>IF(ISNUMBER(SEARCH('Карта учёта'!$B$17,Расходка[[#This Row],[Наименование расходного материала]])),MAX($I$1:I60)+1,0)</f>
        <v>0</v>
      </c>
      <c r="J61" s="115">
        <f>IF(ISNUMBER(SEARCH('Карта учёта'!$B$18,Расходка[[#This Row],[Наименование расходного материала]])),MAX($J$1:J60)+1,0)</f>
        <v>0</v>
      </c>
      <c r="K61" s="115">
        <f>IF(ISNUMBER(SEARCH('Карта учёта'!$B$19,Расходка[[#This Row],[Наименование расходного материала]])),MAX($K$1:K60)+1,0)</f>
        <v>0</v>
      </c>
      <c r="L61" s="115">
        <f>IF(ISNUMBER(SEARCH('Карта учёта'!$B$20,Расходка[[#This Row],[Наименование расходного материала]])),MAX($L$1:L60)+1,0)</f>
        <v>0</v>
      </c>
      <c r="M61" s="115">
        <f>IF(ISNUMBER(SEARCH('Карта учёта'!$B$21,Расходка[[#This Row],[Наименование расходного материала]])),MAX($M$1:M60)+1,0)</f>
        <v>60</v>
      </c>
      <c r="N61" s="115">
        <f>IF(ISNUMBER(SEARCH('Карта учёта'!$B$22,Расходка[[#This Row],[Наименование расходного материала]])),MAX($N$1:N60)+1,0)</f>
        <v>60</v>
      </c>
      <c r="O61" s="115">
        <f>IF(ISNUMBER(SEARCH('Карта учёта'!$B$23,Расходка[[#This Row],[Наименование расходного материала]])),MAX($O$1:O60)+1,0)</f>
        <v>60</v>
      </c>
      <c r="P61" s="115">
        <f>IF(ISNUMBER(SEARCH('Карта учёта'!$B$24,Расходка[[#This Row],[Наименование расходного материала]])),MAX($P$1:P60)+1,0)</f>
        <v>60</v>
      </c>
      <c r="Q61" s="115">
        <f>IF(ISNUMBER(SEARCH('Карта учёта'!$B$25,Расходка[[#This Row],[Наименование расходного материала]])),MAX($Q$1:Q60)+1,0)</f>
        <v>60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
      </c>
      <c r="U61" s="114" t="str">
        <f>IFERROR(INDEX(Расходка[Наименование расходного материала],MATCH(Расходка[[#This Row],[№]],Поиск_расходки[Индекс4],0)),"")</f>
        <v/>
      </c>
      <c r="V61" s="114" t="str">
        <f>IFERROR(INDEX(Расходка[Наименование расходного материала],MATCH(Расходка[[#This Row],[№]],Поиск_расходки[Индекс5],0)),"")</f>
        <v/>
      </c>
      <c r="W61" s="114" t="str">
        <f>IFERROR(INDEX(Расходка[Наименование расходного материала],MATCH(Расходка[[#This Row],[№]],Поиск_расходки[Индекс6],0)),"")</f>
        <v/>
      </c>
      <c r="X61" s="114" t="str">
        <f>IFERROR(INDEX(Расходка[Наименование расходного материала],MATCH(Расходка[[#This Row],[№]],Поиск_расходки[Индекс7],0)),"")</f>
        <v/>
      </c>
      <c r="Y61" s="114" t="str">
        <f>IFERROR(INDEX(Расходка[Наименование расходного материала],MATCH(Расходка[[#This Row],[№]],Поиск_расходки[Индекс8],0)),"")</f>
        <v/>
      </c>
      <c r="Z61" s="114" t="str">
        <f>IFERROR(INDEX(Расходка[Наименование расходного материала],MATCH(Расходка[[#This Row],[№]],Поиск_расходки[Индекс9],0)),"")</f>
        <v>DES, Resolute Integtity</v>
      </c>
      <c r="AA61" s="114" t="str">
        <f>IFERROR(INDEX(Расходка[Наименование расходного материала],MATCH(Расходка[[#This Row],[№]],Поиск_расходки[Индекс10],0)),"")</f>
        <v>DES, Resolute Integtity</v>
      </c>
      <c r="AB61" s="114" t="str">
        <f>IFERROR(INDEX(Расходка[Наименование расходного материала],MATCH(Расходка[[#This Row],[№]],Поиск_расходки[Индекс11],0)),"")</f>
        <v>DES, Resolute Integtity</v>
      </c>
      <c r="AC61" s="114" t="str">
        <f>IFERROR(INDEX(Расходка[Наименование расходного материала],MATCH(Расходка[[#This Row],[№]],Поиск_расходки[Индекс12],0)),"")</f>
        <v>DES, Resolute Integtity</v>
      </c>
      <c r="AD61" s="114" t="str">
        <f>IFERROR(INDEX(Расходка[Наименование расходного материала],MATCH(Расходка[[#This Row],[№]],Поиск_расходки[Индекс13],0)),"")</f>
        <v>DES, Resolute Integtity</v>
      </c>
      <c r="AF61" s="4" t="s">
        <v>6</v>
      </c>
      <c r="AG61" s="4" t="s">
        <v>413</v>
      </c>
    </row>
    <row r="62" spans="1:33">
      <c r="A62">
        <f>ROW(Расходка[[#This Row],[Тип расходного материала ]])-1</f>
        <v>61</v>
      </c>
      <c r="B62" t="s">
        <v>6</v>
      </c>
      <c r="C62" t="s">
        <v>356</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0</v>
      </c>
      <c r="H62" s="115">
        <f>IF(ISNUMBER(SEARCH('Карта учёта'!$B$16,Расходка[[#This Row],[Наименование расходного материала]])),MAX($H$1:H61)+1,0)</f>
        <v>0</v>
      </c>
      <c r="I62" s="115">
        <f>IF(ISNUMBER(SEARCH('Карта учёта'!$B$17,Расходка[[#This Row],[Наименование расходного материала]])),MAX($I$1:I61)+1,0)</f>
        <v>0</v>
      </c>
      <c r="J62" s="115">
        <f>IF(ISNUMBER(SEARCH('Карта учёта'!$B$18,Расходка[[#This Row],[Наименование расходного материала]])),MAX($J$1:J61)+1,0)</f>
        <v>0</v>
      </c>
      <c r="K62" s="115">
        <f>IF(ISNUMBER(SEARCH('Карта учёта'!$B$19,Расходка[[#This Row],[Наименование расходного материала]])),MAX($K$1:K61)+1,0)</f>
        <v>0</v>
      </c>
      <c r="L62" s="115">
        <f>IF(ISNUMBER(SEARCH('Карта учёта'!$B$20,Расходка[[#This Row],[Наименование расходного материала]])),MAX($L$1:L61)+1,0)</f>
        <v>0</v>
      </c>
      <c r="M62" s="115">
        <f>IF(ISNUMBER(SEARCH('Карта учёта'!$B$21,Расходка[[#This Row],[Наименование расходного материала]])),MAX($M$1:M61)+1,0)</f>
        <v>61</v>
      </c>
      <c r="N62" s="115">
        <f>IF(ISNUMBER(SEARCH('Карта учёта'!$B$22,Расходка[[#This Row],[Наименование расходного материала]])),MAX($N$1:N61)+1,0)</f>
        <v>61</v>
      </c>
      <c r="O62" s="115">
        <f>IF(ISNUMBER(SEARCH('Карта учёта'!$B$23,Расходка[[#This Row],[Наименование расходного материала]])),MAX($O$1:O61)+1,0)</f>
        <v>61</v>
      </c>
      <c r="P62" s="115">
        <f>IF(ISNUMBER(SEARCH('Карта учёта'!$B$24,Расходка[[#This Row],[Наименование расходного материала]])),MAX($P$1:P61)+1,0)</f>
        <v>61</v>
      </c>
      <c r="Q62" s="115">
        <f>IF(ISNUMBER(SEARCH('Карта учёта'!$B$25,Расходка[[#This Row],[Наименование расходного материала]])),MAX($Q$1:Q61)+1,0)</f>
        <v>61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
      </c>
      <c r="U62" s="114" t="str">
        <f>IFERROR(INDEX(Расходка[Наименование расходного материала],MATCH(Расходка[[#This Row],[№]],Поиск_расходки[Индекс4],0)),"")</f>
        <v/>
      </c>
      <c r="V62" s="114" t="str">
        <f>IFERROR(INDEX(Расходка[Наименование расходного материала],MATCH(Расходка[[#This Row],[№]],Поиск_расходки[Индекс5],0)),"")</f>
        <v/>
      </c>
      <c r="W62" s="114" t="str">
        <f>IFERROR(INDEX(Расходка[Наименование расходного материала],MATCH(Расходка[[#This Row],[№]],Поиск_расходки[Индекс6],0)),"")</f>
        <v/>
      </c>
      <c r="X62" s="114" t="str">
        <f>IFERROR(INDEX(Расходка[Наименование расходного материала],MATCH(Расходка[[#This Row],[№]],Поиск_расходки[Индекс7],0)),"")</f>
        <v/>
      </c>
      <c r="Y62" s="114" t="str">
        <f>IFERROR(INDEX(Расходка[Наименование расходного материала],MATCH(Расходка[[#This Row],[№]],Поиск_расходки[Индекс8],0)),"")</f>
        <v/>
      </c>
      <c r="Z62" s="114" t="str">
        <f>IFERROR(INDEX(Расходка[Наименование расходного материала],MATCH(Расходка[[#This Row],[№]],Поиск_расходки[Индекс9],0)),"")</f>
        <v>DES, Yukon Chrome PC</v>
      </c>
      <c r="AA62" s="114" t="str">
        <f>IFERROR(INDEX(Расходка[Наименование расходного материала],MATCH(Расходка[[#This Row],[№]],Поиск_расходки[Индекс10],0)),"")</f>
        <v>DES, Yukon Chrome PC</v>
      </c>
      <c r="AB62" s="114" t="str">
        <f>IFERROR(INDEX(Расходка[Наименование расходного материала],MATCH(Расходка[[#This Row],[№]],Поиск_расходки[Индекс11],0)),"")</f>
        <v>DES, Yukon Chrome PC</v>
      </c>
      <c r="AC62" s="114" t="str">
        <f>IFERROR(INDEX(Расходка[Наименование расходного материала],MATCH(Расходка[[#This Row],[№]],Поиск_расходки[Индекс12],0)),"")</f>
        <v>DES, Yukon Chrome PC</v>
      </c>
      <c r="AD62" s="114" t="str">
        <f>IFERROR(INDEX(Расходка[Наименование расходного материала],MATCH(Расходка[[#This Row],[№]],Поиск_расходки[Индекс13],0)),"")</f>
        <v>DES, Yukon Chrome PC</v>
      </c>
      <c r="AF62" s="4" t="s">
        <v>6</v>
      </c>
      <c r="AG62" s="4" t="s">
        <v>453</v>
      </c>
    </row>
    <row r="63" spans="1:33">
      <c r="A63">
        <f>ROW(Расходка[[#This Row],[Тип расходного материала ]])-1</f>
        <v>62</v>
      </c>
      <c r="B63" t="s">
        <v>6</v>
      </c>
      <c r="C63" s="159" t="s">
        <v>384</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0</v>
      </c>
      <c r="H63" s="115">
        <f>IF(ISNUMBER(SEARCH('Карта учёта'!$B$16,Расходка[[#This Row],[Наименование расходного материала]])),MAX($H$1:H62)+1,0)</f>
        <v>0</v>
      </c>
      <c r="I63" s="115">
        <f>IF(ISNUMBER(SEARCH('Карта учёта'!$B$17,Расходка[[#This Row],[Наименование расходного материала]])),MAX($I$1:I62)+1,0)</f>
        <v>0</v>
      </c>
      <c r="J63" s="115">
        <f>IF(ISNUMBER(SEARCH('Карта учёта'!$B$18,Расходка[[#This Row],[Наименование расходного материала]])),MAX($J$1:J62)+1,0)</f>
        <v>0</v>
      </c>
      <c r="K63" s="115">
        <f>IF(ISNUMBER(SEARCH('Карта учёта'!$B$19,Расходка[[#This Row],[Наименование расходного материала]])),MAX($K$1:K62)+1,0)</f>
        <v>0</v>
      </c>
      <c r="L63" s="115">
        <f>IF(ISNUMBER(SEARCH('Карта учёта'!$B$20,Расходка[[#This Row],[Наименование расходного материала]])),MAX($L$1:L62)+1,0)</f>
        <v>0</v>
      </c>
      <c r="M63" s="115">
        <f>IF(ISNUMBER(SEARCH('Карта учёта'!$B$21,Расходка[[#This Row],[Наименование расходного материала]])),MAX($M$1:M62)+1,0)</f>
        <v>62</v>
      </c>
      <c r="N63" s="115">
        <f>IF(ISNUMBER(SEARCH('Карта учёта'!$B$22,Расходка[[#This Row],[Наименование расходного материала]])),MAX($N$1:N62)+1,0)</f>
        <v>62</v>
      </c>
      <c r="O63" s="115">
        <f>IF(ISNUMBER(SEARCH('Карта учёта'!$B$23,Расходка[[#This Row],[Наименование расходного материала]])),MAX($O$1:O62)+1,0)</f>
        <v>62</v>
      </c>
      <c r="P63" s="115">
        <f>IF(ISNUMBER(SEARCH('Карта учёта'!$B$24,Расходка[[#This Row],[Наименование расходного материала]])),MAX($P$1:P62)+1,0)</f>
        <v>62</v>
      </c>
      <c r="Q63" s="115">
        <f>IF(ISNUMBER(SEARCH('Карта учёта'!$B$25,Расходка[[#This Row],[Наименование расходного материала]])),MAX($Q$1:Q62)+1,0)</f>
        <v>62</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
      </c>
      <c r="U63" s="114" t="str">
        <f>IFERROR(INDEX(Расходка[Наименование расходного материала],MATCH(Расходка[[#This Row],[№]],Поиск_расходки[Индекс4],0)),"")</f>
        <v/>
      </c>
      <c r="V63" s="114" t="str">
        <f>IFERROR(INDEX(Расходка[Наименование расходного материала],MATCH(Расходка[[#This Row],[№]],Поиск_расходки[Индекс5],0)),"")</f>
        <v/>
      </c>
      <c r="W63" s="114" t="str">
        <f>IFERROR(INDEX(Расходка[Наименование расходного материала],MATCH(Расходка[[#This Row],[№]],Поиск_расходки[Индекс6],0)),"")</f>
        <v/>
      </c>
      <c r="X63" s="114" t="str">
        <f>IFERROR(INDEX(Расходка[Наименование расходного материала],MATCH(Расходка[[#This Row],[№]],Поиск_расходки[Индекс7],0)),"")</f>
        <v/>
      </c>
      <c r="Y63" s="114" t="str">
        <f>IFERROR(INDEX(Расходка[Наименование расходного материала],MATCH(Расходка[[#This Row],[№]],Поиск_расходки[Индекс8],0)),"")</f>
        <v/>
      </c>
      <c r="Z63" s="114" t="str">
        <f>IFERROR(INDEX(Расходка[Наименование расходного материала],MATCH(Расходка[[#This Row],[№]],Поиск_расходки[Индекс9],0)),"")</f>
        <v>DES, Firehawk</v>
      </c>
      <c r="AA63" s="114" t="str">
        <f>IFERROR(INDEX(Расходка[Наименование расходного материала],MATCH(Расходка[[#This Row],[№]],Поиск_расходки[Индекс10],0)),"")</f>
        <v>DES, Firehawk</v>
      </c>
      <c r="AB63" s="114" t="str">
        <f>IFERROR(INDEX(Расходка[Наименование расходного материала],MATCH(Расходка[[#This Row],[№]],Поиск_расходки[Индекс11],0)),"")</f>
        <v>DES, Firehawk</v>
      </c>
      <c r="AC63" s="114" t="str">
        <f>IFERROR(INDEX(Расходка[Наименование расходного материала],MATCH(Расходка[[#This Row],[№]],Поиск_расходки[Индекс12],0)),"")</f>
        <v>DES, Firehawk</v>
      </c>
      <c r="AD63" s="114" t="str">
        <f>IFERROR(INDEX(Расходка[Наименование расходного материала],MATCH(Расходка[[#This Row],[№]],Поиск_расходки[Индекс13],0)),"")</f>
        <v>DES, Firehawk</v>
      </c>
      <c r="AF63" s="4" t="s">
        <v>6</v>
      </c>
      <c r="AG63" s="4" t="s">
        <v>454</v>
      </c>
    </row>
    <row r="64" spans="1:33">
      <c r="A64">
        <f>ROW(Расходка[[#This Row],[Тип расходного материала ]])-1</f>
        <v>63</v>
      </c>
      <c r="B64" t="s">
        <v>6</v>
      </c>
      <c r="C64" t="s">
        <v>383</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0</v>
      </c>
      <c r="H64" s="115">
        <f>IF(ISNUMBER(SEARCH('Карта учёта'!$B$16,Расходка[[#This Row],[Наименование расходного материала]])),MAX($H$1:H63)+1,0)</f>
        <v>0</v>
      </c>
      <c r="I64" s="115">
        <f>IF(ISNUMBER(SEARCH('Карта учёта'!$B$17,Расходка[[#This Row],[Наименование расходного материала]])),MAX($I$1:I63)+1,0)</f>
        <v>0</v>
      </c>
      <c r="J64" s="115">
        <f>IF(ISNUMBER(SEARCH('Карта учёта'!$B$18,Расходка[[#This Row],[Наименование расходного материала]])),MAX($J$1:J63)+1,0)</f>
        <v>0</v>
      </c>
      <c r="K64" s="115">
        <f>IF(ISNUMBER(SEARCH('Карта учёта'!$B$19,Расходка[[#This Row],[Наименование расходного материала]])),MAX($K$1:K63)+1,0)</f>
        <v>0</v>
      </c>
      <c r="L64" s="115">
        <f>IF(ISNUMBER(SEARCH('Карта учёта'!$B$20,Расходка[[#This Row],[Наименование расходного материала]])),MAX($L$1:L63)+1,0)</f>
        <v>0</v>
      </c>
      <c r="M64" s="115">
        <f>IF(ISNUMBER(SEARCH('Карта учёта'!$B$21,Расходка[[#This Row],[Наименование расходного материала]])),MAX($M$1:M63)+1,0)</f>
        <v>63</v>
      </c>
      <c r="N64" s="115">
        <f>IF(ISNUMBER(SEARCH('Карта учёта'!$B$22,Расходка[[#This Row],[Наименование расходного материала]])),MAX($N$1:N63)+1,0)</f>
        <v>63</v>
      </c>
      <c r="O64" s="115">
        <f>IF(ISNUMBER(SEARCH('Карта учёта'!$B$23,Расходка[[#This Row],[Наименование расходного материала]])),MAX($O$1:O63)+1,0)</f>
        <v>63</v>
      </c>
      <c r="P64" s="115">
        <f>IF(ISNUMBER(SEARCH('Карта учёта'!$B$24,Расходка[[#This Row],[Наименование расходного материала]])),MAX($P$1:P63)+1,0)</f>
        <v>63</v>
      </c>
      <c r="Q64" s="115">
        <f>IF(ISNUMBER(SEARCH('Карта учёта'!$B$25,Расходка[[#This Row],[Наименование расходного материала]])),MAX($Q$1:Q63)+1,0)</f>
        <v>63</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
      </c>
      <c r="U64" s="114" t="str">
        <f>IFERROR(INDEX(Расходка[Наименование расходного материала],MATCH(Расходка[[#This Row],[№]],Поиск_расходки[Индекс4],0)),"")</f>
        <v/>
      </c>
      <c r="V64" s="114" t="str">
        <f>IFERROR(INDEX(Расходка[Наименование расходного материала],MATCH(Расходка[[#This Row],[№]],Поиск_расходки[Индекс5],0)),"")</f>
        <v/>
      </c>
      <c r="W64" s="114" t="str">
        <f>IFERROR(INDEX(Расходка[Наименование расходного материала],MATCH(Расходка[[#This Row],[№]],Поиск_расходки[Индекс6],0)),"")</f>
        <v/>
      </c>
      <c r="X64" s="114" t="str">
        <f>IFERROR(INDEX(Расходка[Наименование расходного материала],MATCH(Расходка[[#This Row],[№]],Поиск_расходки[Индекс7],0)),"")</f>
        <v/>
      </c>
      <c r="Y64" s="114" t="str">
        <f>IFERROR(INDEX(Расходка[Наименование расходного материала],MATCH(Расходка[[#This Row],[№]],Поиск_расходки[Индекс8],0)),"")</f>
        <v/>
      </c>
      <c r="Z64" s="114" t="str">
        <f>IFERROR(INDEX(Расходка[Наименование расходного материала],MATCH(Расходка[[#This Row],[№]],Поиск_расходки[Индекс9],0)),"")</f>
        <v>DES, Resolute Onyx</v>
      </c>
      <c r="AA64" s="114" t="str">
        <f>IFERROR(INDEX(Расходка[Наименование расходного материала],MATCH(Расходка[[#This Row],[№]],Поиск_расходки[Индекс10],0)),"")</f>
        <v>DES, Resolute Onyx</v>
      </c>
      <c r="AB64" s="114" t="str">
        <f>IFERROR(INDEX(Расходка[Наименование расходного материала],MATCH(Расходка[[#This Row],[№]],Поиск_расходки[Индекс11],0)),"")</f>
        <v>DES, Resolute Onyx</v>
      </c>
      <c r="AC64" s="114" t="str">
        <f>IFERROR(INDEX(Расходка[Наименование расходного материала],MATCH(Расходка[[#This Row],[№]],Поиск_расходки[Индекс12],0)),"")</f>
        <v>DES, Resolute Onyx</v>
      </c>
      <c r="AD64" s="114" t="str">
        <f>IFERROR(INDEX(Расходка[Наименование расходного материала],MATCH(Расходка[[#This Row],[№]],Поиск_расходки[Индекс13],0)),"")</f>
        <v>DES, Resolute Onyx</v>
      </c>
      <c r="AF64" s="4" t="s">
        <v>6</v>
      </c>
      <c r="AG64" s="4" t="s">
        <v>455</v>
      </c>
    </row>
    <row r="65" spans="1:33">
      <c r="A65">
        <f>ROW(Расходка[[#This Row],[Тип расходного материала ]])-1</f>
        <v>64</v>
      </c>
      <c r="B65" t="s">
        <v>6</v>
      </c>
      <c r="C65" t="s">
        <v>515</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0</v>
      </c>
      <c r="H65" s="115">
        <f>IF(ISNUMBER(SEARCH('Карта учёта'!$B$16,Расходка[[#This Row],[Наименование расходного материала]])),MAX($H$1:H64)+1,0)</f>
        <v>0</v>
      </c>
      <c r="I65" s="115">
        <f>IF(ISNUMBER(SEARCH('Карта учёта'!$B$17,Расходка[[#This Row],[Наименование расходного материала]])),MAX($I$1:I64)+1,0)</f>
        <v>0</v>
      </c>
      <c r="J65" s="115">
        <f>IF(ISNUMBER(SEARCH('Карта учёта'!$B$18,Расходка[[#This Row],[Наименование расходного материала]])),MAX($J$1:J64)+1,0)</f>
        <v>0</v>
      </c>
      <c r="K65" s="115">
        <f>IF(ISNUMBER(SEARCH('Карта учёта'!$B$19,Расходка[[#This Row],[Наименование расходного материала]])),MAX($K$1:K64)+1,0)</f>
        <v>0</v>
      </c>
      <c r="L65" s="115">
        <f>IF(ISNUMBER(SEARCH('Карта учёта'!$B$20,Расходка[[#This Row],[Наименование расходного материала]])),MAX($L$1:L64)+1,0)</f>
        <v>0</v>
      </c>
      <c r="M65" s="115">
        <f>IF(ISNUMBER(SEARCH('Карта учёта'!$B$21,Расходка[[#This Row],[Наименование расходного материала]])),MAX($M$1:M64)+1,0)</f>
        <v>64</v>
      </c>
      <c r="N65" s="115">
        <f>IF(ISNUMBER(SEARCH('Карта учёта'!$B$22,Расходка[[#This Row],[Наименование расходного материала]])),MAX($N$1:N64)+1,0)</f>
        <v>64</v>
      </c>
      <c r="O65" s="115">
        <f>IF(ISNUMBER(SEARCH('Карта учёта'!$B$23,Расходка[[#This Row],[Наименование расходного материала]])),MAX($O$1:O64)+1,0)</f>
        <v>64</v>
      </c>
      <c r="P65" s="115">
        <f>IF(ISNUMBER(SEARCH('Карта учёта'!$B$24,Расходка[[#This Row],[Наименование расходного материала]])),MAX($P$1:P64)+1,0)</f>
        <v>64</v>
      </c>
      <c r="Q65" s="115">
        <f>IF(ISNUMBER(SEARCH('Карта учёта'!$B$25,Расходка[[#This Row],[Наименование расходного материала]])),MAX($Q$1:Q64)+1,0)</f>
        <v>64</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
      </c>
      <c r="U65" s="114" t="str">
        <f>IFERROR(INDEX(Расходка[Наименование расходного материала],MATCH(Расходка[[#This Row],[№]],Поиск_расходки[Индекс4],0)),"")</f>
        <v/>
      </c>
      <c r="V65" s="114" t="str">
        <f>IFERROR(INDEX(Расходка[Наименование расходного материала],MATCH(Расходка[[#This Row],[№]],Поиск_расходки[Индекс5],0)),"")</f>
        <v/>
      </c>
      <c r="W65" s="114" t="str">
        <f>IFERROR(INDEX(Расходка[Наименование расходного материала],MATCH(Расходка[[#This Row],[№]],Поиск_расходки[Индекс6],0)),"")</f>
        <v/>
      </c>
      <c r="X65" s="114" t="str">
        <f>IFERROR(INDEX(Расходка[Наименование расходного материала],MATCH(Расходка[[#This Row],[№]],Поиск_расходки[Индекс7],0)),"")</f>
        <v/>
      </c>
      <c r="Y65" s="114" t="str">
        <f>IFERROR(INDEX(Расходка[Наименование расходного материала],MATCH(Расходка[[#This Row],[№]],Поиск_расходки[Индекс8],0)),"")</f>
        <v/>
      </c>
      <c r="Z65" s="114" t="str">
        <f>IFERROR(INDEX(Расходка[Наименование расходного материала],MATCH(Расходка[[#This Row],[№]],Поиск_расходки[Индекс9],0)),"")</f>
        <v>DES, Калипсо</v>
      </c>
      <c r="AA65" s="114" t="str">
        <f>IFERROR(INDEX(Расходка[Наименование расходного материала],MATCH(Расходка[[#This Row],[№]],Поиск_расходки[Индекс10],0)),"")</f>
        <v>DES, Калипсо</v>
      </c>
      <c r="AB65" s="114" t="str">
        <f>IFERROR(INDEX(Расходка[Наименование расходного материала],MATCH(Расходка[[#This Row],[№]],Поиск_расходки[Индекс11],0)),"")</f>
        <v>DES, Калипсо</v>
      </c>
      <c r="AC65" s="114" t="str">
        <f>IFERROR(INDEX(Расходка[Наименование расходного материала],MATCH(Расходка[[#This Row],[№]],Поиск_расходки[Индекс12],0)),"")</f>
        <v>DES, Калипсо</v>
      </c>
      <c r="AD65" s="114" t="str">
        <f>IFERROR(INDEX(Расходка[Наименование расходного материала],MATCH(Расходка[[#This Row],[№]],Поиск_расходки[Индекс13],0)),"")</f>
        <v>DES, Калипсо</v>
      </c>
      <c r="AF65" s="4" t="s">
        <v>6</v>
      </c>
      <c r="AG65" s="4" t="s">
        <v>456</v>
      </c>
    </row>
    <row r="66" spans="1:33">
      <c r="A66">
        <f>ROW(Расходка[[#This Row],[Тип расходного материала ]])-1</f>
        <v>65</v>
      </c>
      <c r="B66" t="s">
        <v>6</v>
      </c>
      <c r="C66" t="s">
        <v>516</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0</v>
      </c>
      <c r="H66" s="115">
        <f>IF(ISNUMBER(SEARCH('Карта учёта'!$B$16,Расходка[[#This Row],[Наименование расходного материала]])),MAX($H$1:H65)+1,0)</f>
        <v>0</v>
      </c>
      <c r="I66" s="115">
        <f>IF(ISNUMBER(SEARCH('Карта учёта'!$B$17,Расходка[[#This Row],[Наименование расходного материала]])),MAX($I$1:I65)+1,0)</f>
        <v>0</v>
      </c>
      <c r="J66" s="115">
        <f>IF(ISNUMBER(SEARCH('Карта учёта'!$B$18,Расходка[[#This Row],[Наименование расходного материала]])),MAX($J$1:J65)+1,0)</f>
        <v>0</v>
      </c>
      <c r="K66" s="115">
        <f>IF(ISNUMBER(SEARCH('Карта учёта'!$B$19,Расходка[[#This Row],[Наименование расходного материала]])),MAX($K$1:K65)+1,0)</f>
        <v>0</v>
      </c>
      <c r="L66" s="115">
        <f>IF(ISNUMBER(SEARCH('Карта учёта'!$B$20,Расходка[[#This Row],[Наименование расходного материала]])),MAX($L$1:L65)+1,0)</f>
        <v>0</v>
      </c>
      <c r="M66" s="115">
        <f>IF(ISNUMBER(SEARCH('Карта учёта'!$B$21,Расходка[[#This Row],[Наименование расходного материала]])),MAX($M$1:M65)+1,0)</f>
        <v>65</v>
      </c>
      <c r="N66" s="115">
        <f>IF(ISNUMBER(SEARCH('Карта учёта'!$B$22,Расходка[[#This Row],[Наименование расходного материала]])),MAX($N$1:N65)+1,0)</f>
        <v>65</v>
      </c>
      <c r="O66" s="115">
        <f>IF(ISNUMBER(SEARCH('Карта учёта'!$B$23,Расходка[[#This Row],[Наименование расходного материала]])),MAX($O$1:O65)+1,0)</f>
        <v>65</v>
      </c>
      <c r="P66" s="115">
        <f>IF(ISNUMBER(SEARCH('Карта учёта'!$B$24,Расходка[[#This Row],[Наименование расходного материала]])),MAX($P$1:P65)+1,0)</f>
        <v>65</v>
      </c>
      <c r="Q66" s="115">
        <f>IF(ISNUMBER(SEARCH('Карта учёта'!$B$25,Расходка[[#This Row],[Наименование расходного материала]])),MAX($Q$1:Q65)+1,0)</f>
        <v>65</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
      </c>
      <c r="U66" s="114" t="str">
        <f>IFERROR(INDEX(Расходка[Наименование расходного материала],MATCH(Расходка[[#This Row],[№]],Поиск_расходки[Индекс4],0)),"")</f>
        <v/>
      </c>
      <c r="V66" s="114" t="str">
        <f>IFERROR(INDEX(Расходка[Наименование расходного материала],MATCH(Расходка[[#This Row],[№]],Поиск_расходки[Индекс5],0)),"")</f>
        <v/>
      </c>
      <c r="W66" s="114" t="str">
        <f>IFERROR(INDEX(Расходка[Наименование расходного материала],MATCH(Расходка[[#This Row],[№]],Поиск_расходки[Индекс6],0)),"")</f>
        <v/>
      </c>
      <c r="X66" s="114" t="str">
        <f>IFERROR(INDEX(Расходка[Наименование расходного материала],MATCH(Расходка[[#This Row],[№]],Поиск_расходки[Индекс7],0)),"")</f>
        <v/>
      </c>
      <c r="Y66" s="114" t="str">
        <f>IFERROR(INDEX(Расходка[Наименование расходного материала],MATCH(Расходка[[#This Row],[№]],Поиск_расходки[Индекс8],0)),"")</f>
        <v/>
      </c>
      <c r="Z66" s="114" t="str">
        <f>IFERROR(INDEX(Расходка[Наименование расходного материала],MATCH(Расходка[[#This Row],[№]],Поиск_расходки[Индекс9],0)),"")</f>
        <v>Meril Evermine50™</v>
      </c>
      <c r="AA66" s="114" t="str">
        <f>IFERROR(INDEX(Расходка[Наименование расходного материала],MATCH(Расходка[[#This Row],[№]],Поиск_расходки[Индекс10],0)),"")</f>
        <v>Meril Evermine50™</v>
      </c>
      <c r="AB66" s="114" t="str">
        <f>IFERROR(INDEX(Расходка[Наименование расходного материала],MATCH(Расходка[[#This Row],[№]],Поиск_расходки[Индекс11],0)),"")</f>
        <v>Meril Evermine50™</v>
      </c>
      <c r="AC66" s="114" t="str">
        <f>IFERROR(INDEX(Расходка[Наименование расходного материала],MATCH(Расходка[[#This Row],[№]],Поиск_расходки[Индекс12],0)),"")</f>
        <v>Meril Evermine50™</v>
      </c>
      <c r="AD66" s="114" t="str">
        <f>IFERROR(INDEX(Расходка[Наименование расходного материала],MATCH(Расходка[[#This Row],[№]],Поиск_расходки[Индекс13],0)),"")</f>
        <v>Meril Evermine50™</v>
      </c>
      <c r="AF66" s="4" t="s">
        <v>6</v>
      </c>
      <c r="AG66" s="4" t="s">
        <v>457</v>
      </c>
    </row>
    <row r="67" spans="1:33">
      <c r="A67">
        <f>ROW(Расходка[[#This Row],[Тип расходного материала ]])-1</f>
        <v>66</v>
      </c>
      <c r="B67" t="s">
        <v>95</v>
      </c>
      <c r="C67" s="1" t="s">
        <v>323</v>
      </c>
      <c r="E67" s="195">
        <f>IF(ISNUMBER(SEARCH('Карта учёта'!$B$13,Расходка[[#This Row],[Наименование расходного материала]])),MAX($E$1:E66)+1,0)</f>
        <v>0</v>
      </c>
      <c r="F67" s="195">
        <f>IF(ISNUMBER(SEARCH('Карта учёта'!$B$14,Расходка[[#This Row],[Наименование расходного материала]])),MAX($F$1:F66)+1,0)</f>
        <v>0</v>
      </c>
      <c r="G67" s="195">
        <f>IF(ISNUMBER(SEARCH('Карта учёта'!$B$15,Расходка[[#This Row],[Наименование расходного материала]])),MAX($G$1:G66)+1,0)</f>
        <v>0</v>
      </c>
      <c r="H67" s="195">
        <f>IF(ISNUMBER(SEARCH('Карта учёта'!$B$16,Расходка[[#This Row],[Наименование расходного материала]])),MAX($H$1:H66)+1,0)</f>
        <v>0</v>
      </c>
      <c r="I67" s="195">
        <f>IF(ISNUMBER(SEARCH('Карта учёта'!$B$17,Расходка[[#This Row],[Наименование расходного материала]])),MAX($I$1:I66)+1,0)</f>
        <v>0</v>
      </c>
      <c r="J67" s="195">
        <f>IF(ISNUMBER(SEARCH('Карта учёта'!$B$18,Расходка[[#This Row],[Наименование расходного материала]])),MAX($J$1:J66)+1,0)</f>
        <v>0</v>
      </c>
      <c r="K67" s="195">
        <f>IF(ISNUMBER(SEARCH('Карта учёта'!$B$19,Расходка[[#This Row],[Наименование расходного материала]])),MAX($K$1:K66)+1,0)</f>
        <v>0</v>
      </c>
      <c r="L67" s="195">
        <f>IF(ISNUMBER(SEARCH('Карта учёта'!$B$20,Расходка[[#This Row],[Наименование расходного материала]])),MAX($L$1:L66)+1,0)</f>
        <v>0</v>
      </c>
      <c r="M67" s="195">
        <f>IF(ISNUMBER(SEARCH('Карта учёта'!$B$21,Расходка[[#This Row],[Наименование расходного материала]])),MAX($M$1:M66)+1,0)</f>
        <v>66</v>
      </c>
      <c r="N67" s="195">
        <f>IF(ISNUMBER(SEARCH('Карта учёта'!$B$22,Расходка[[#This Row],[Наименование расходного материала]])),MAX($N$1:N66)+1,0)</f>
        <v>66</v>
      </c>
      <c r="O67" s="195">
        <f>IF(ISNUMBER(SEARCH('Карта учёта'!$B$23,Расходка[[#This Row],[Наименование расходного материала]])),MAX($O$1:O66)+1,0)</f>
        <v>66</v>
      </c>
      <c r="P67" s="195">
        <f>IF(ISNUMBER(SEARCH('Карта учёта'!$B$24,Расходка[[#This Row],[Наименование расходного материала]])),MAX($P$1:P66)+1,0)</f>
        <v>66</v>
      </c>
      <c r="Q67" s="195">
        <f>IF(ISNUMBER(SEARCH('Карта учёта'!$B$25,Расходка[[#This Row],[Наименование расходного материала]])),MAX($Q$1:Q66)+1,0)</f>
        <v>66</v>
      </c>
      <c r="R67" s="196" t="str">
        <f>IFERROR(INDEX(Расходка[Наименование расходного материала],MATCH(Расходка[[#This Row],[№]],Поиск_расходки[Индекс1],0)),"")</f>
        <v/>
      </c>
      <c r="S67" s="196" t="str">
        <f>IFERROR(INDEX(Расходка[Наименование расходного материала],MATCH(Расходка[[#This Row],[№]],Поиск_расходки[Индекс2],0)),"")</f>
        <v/>
      </c>
      <c r="T67" s="196" t="str">
        <f>IFERROR(INDEX(Расходка[Наименование расходного материала],MATCH(Расходка[[#This Row],[№]],Поиск_расходки[Индекс3],0)),"")</f>
        <v/>
      </c>
      <c r="U67" s="196" t="str">
        <f>IFERROR(INDEX(Расходка[Наименование расходного материала],MATCH(Расходка[[#This Row],[№]],Поиск_расходки[Индекс4],0)),"")</f>
        <v/>
      </c>
      <c r="V67" s="196" t="str">
        <f>IFERROR(INDEX(Расходка[Наименование расходного материала],MATCH(Расходка[[#This Row],[№]],Поиск_расходки[Индекс5],0)),"")</f>
        <v/>
      </c>
      <c r="W67" s="196" t="str">
        <f>IFERROR(INDEX(Расходка[Наименование расходного материала],MATCH(Расходка[[#This Row],[№]],Поиск_расходки[Индекс6],0)),"")</f>
        <v/>
      </c>
      <c r="X67" s="196" t="str">
        <f>IFERROR(INDEX(Расходка[Наименование расходного материала],MATCH(Расходка[[#This Row],[№]],Поиск_расходки[Индекс7],0)),"")</f>
        <v/>
      </c>
      <c r="Y67" s="196" t="str">
        <f>IFERROR(INDEX(Расходка[Наименование расходного материала],MATCH(Расходка[[#This Row],[№]],Поиск_расходки[Индекс8],0)),"")</f>
        <v/>
      </c>
      <c r="Z67" s="196" t="str">
        <f>IFERROR(INDEX(Расходка[Наименование расходного материала],MATCH(Расходка[[#This Row],[№]],Поиск_расходки[Индекс9],0)),"")</f>
        <v>Guidezilla™ II 6F</v>
      </c>
      <c r="AA67" s="196" t="str">
        <f>IFERROR(INDEX(Расходка[Наименование расходного материала],MATCH(Расходка[[#This Row],[№]],Поиск_расходки[Индекс10],0)),"")</f>
        <v>Guidezilla™ II 6F</v>
      </c>
      <c r="AB67" s="196" t="str">
        <f>IFERROR(INDEX(Расходка[Наименование расходного материала],MATCH(Расходка[[#This Row],[№]],Поиск_расходки[Индекс11],0)),"")</f>
        <v>Guidezilla™ II 6F</v>
      </c>
      <c r="AC67" s="196" t="str">
        <f>IFERROR(INDEX(Расходка[Наименование расходного материала],MATCH(Расходка[[#This Row],[№]],Поиск_расходки[Индекс12],0)),"")</f>
        <v>Guidezilla™ II 6F</v>
      </c>
      <c r="AD67" s="196" t="str">
        <f>IFERROR(INDEX(Расходка[Наименование расходного материала],MATCH(Расходка[[#This Row],[№]],Поиск_расходки[Индекс13],0)),"")</f>
        <v>Guidezilla™ II 6F</v>
      </c>
      <c r="AF67" s="4" t="s">
        <v>6</v>
      </c>
      <c r="AG67" s="4" t="s">
        <v>458</v>
      </c>
    </row>
    <row r="68" spans="1:33">
      <c r="A68">
        <f>ROW(Расходка[[#This Row],[Тип расходного материала ]])-1</f>
        <v>67</v>
      </c>
      <c r="B68" t="s">
        <v>95</v>
      </c>
      <c r="C68" s="1" t="s">
        <v>342</v>
      </c>
      <c r="E68" s="195">
        <f>IF(ISNUMBER(SEARCH('Карта учёта'!$B$13,Расходка[[#This Row],[Наименование расходного материала]])),MAX($E$1:E67)+1,0)</f>
        <v>0</v>
      </c>
      <c r="F68" s="195">
        <f>IF(ISNUMBER(SEARCH('Карта учёта'!$B$14,Расходка[[#This Row],[Наименование расходного материала]])),MAX($F$1:F67)+1,0)</f>
        <v>0</v>
      </c>
      <c r="G68" s="195">
        <f>IF(ISNUMBER(SEARCH('Карта учёта'!$B$15,Расходка[[#This Row],[Наименование расходного материала]])),MAX($G$1:G67)+1,0)</f>
        <v>0</v>
      </c>
      <c r="H68" s="195">
        <f>IF(ISNUMBER(SEARCH('Карта учёта'!$B$16,Расходка[[#This Row],[Наименование расходного материала]])),MAX($H$1:H67)+1,0)</f>
        <v>0</v>
      </c>
      <c r="I68" s="195">
        <f>IF(ISNUMBER(SEARCH('Карта учёта'!$B$17,Расходка[[#This Row],[Наименование расходного материала]])),MAX($I$1:I67)+1,0)</f>
        <v>0</v>
      </c>
      <c r="J68" s="195">
        <f>IF(ISNUMBER(SEARCH('Карта учёта'!$B$18,Расходка[[#This Row],[Наименование расходного материала]])),MAX($J$1:J67)+1,0)</f>
        <v>0</v>
      </c>
      <c r="K68" s="195">
        <f>IF(ISNUMBER(SEARCH('Карта учёта'!$B$19,Расходка[[#This Row],[Наименование расходного материала]])),MAX($K$1:K67)+1,0)</f>
        <v>0</v>
      </c>
      <c r="L68" s="195">
        <f>IF(ISNUMBER(SEARCH('Карта учёта'!$B$20,Расходка[[#This Row],[Наименование расходного материала]])),MAX($L$1:L67)+1,0)</f>
        <v>1</v>
      </c>
      <c r="M68" s="195">
        <f>IF(ISNUMBER(SEARCH('Карта учёта'!$B$21,Расходка[[#This Row],[Наименование расходного материала]])),MAX($M$1:M67)+1,0)</f>
        <v>67</v>
      </c>
      <c r="N68" s="195">
        <f>IF(ISNUMBER(SEARCH('Карта учёта'!$B$22,Расходка[[#This Row],[Наименование расходного материала]])),MAX($N$1:N67)+1,0)</f>
        <v>67</v>
      </c>
      <c r="O68" s="195">
        <f>IF(ISNUMBER(SEARCH('Карта учёта'!$B$23,Расходка[[#This Row],[Наименование расходного материала]])),MAX($O$1:O67)+1,0)</f>
        <v>67</v>
      </c>
      <c r="P68" s="195">
        <f>IF(ISNUMBER(SEARCH('Карта учёта'!$B$24,Расходка[[#This Row],[Наименование расходного материала]])),MAX($P$1:P67)+1,0)</f>
        <v>67</v>
      </c>
      <c r="Q68" s="195">
        <f>IF(ISNUMBER(SEARCH('Карта учёта'!$B$25,Расходка[[#This Row],[Наименование расходного материала]])),MAX($Q$1:Q67)+1,0)</f>
        <v>67</v>
      </c>
      <c r="R68" s="196" t="str">
        <f>IFERROR(INDEX(Расходка[Наименование расходного материала],MATCH(Расходка[[#This Row],[№]],Поиск_расходки[Индекс1],0)),"")</f>
        <v/>
      </c>
      <c r="S68" s="196" t="str">
        <f>IFERROR(INDEX(Расходка[Наименование расходного материала],MATCH(Расходка[[#This Row],[№]],Поиск_расходки[Индекс2],0)),"")</f>
        <v/>
      </c>
      <c r="T68" s="196" t="str">
        <f>IFERROR(INDEX(Расходка[Наименование расходного материала],MATCH(Расходка[[#This Row],[№]],Поиск_расходки[Индекс3],0)),"")</f>
        <v/>
      </c>
      <c r="U68" s="196" t="str">
        <f>IFERROR(INDEX(Расходка[Наименование расходного материала],MATCH(Расходка[[#This Row],[№]],Поиск_расходки[Индекс4],0)),"")</f>
        <v/>
      </c>
      <c r="V68" s="196" t="str">
        <f>IFERROR(INDEX(Расходка[Наименование расходного материала],MATCH(Расходка[[#This Row],[№]],Поиск_расходки[Индекс5],0)),"")</f>
        <v/>
      </c>
      <c r="W68" s="196" t="str">
        <f>IFERROR(INDEX(Расходка[Наименование расходного материала],MATCH(Расходка[[#This Row],[№]],Поиск_расходки[Индекс6],0)),"")</f>
        <v/>
      </c>
      <c r="X68" s="196" t="str">
        <f>IFERROR(INDEX(Расходка[Наименование расходного материала],MATCH(Расходка[[#This Row],[№]],Поиск_расходки[Индекс7],0)),"")</f>
        <v/>
      </c>
      <c r="Y68" s="196" t="str">
        <f>IFERROR(INDEX(Расходка[Наименование расходного материала],MATCH(Расходка[[#This Row],[№]],Поиск_расходки[Индекс8],0)),"")</f>
        <v/>
      </c>
      <c r="Z68" s="196" t="str">
        <f>IFERROR(INDEX(Расходка[Наименование расходного материала],MATCH(Расходка[[#This Row],[№]],Поиск_расходки[Индекс9],0)),"")</f>
        <v>Telescope ™ II 6F</v>
      </c>
      <c r="AA68" s="196" t="str">
        <f>IFERROR(INDEX(Расходка[Наименование расходного материала],MATCH(Расходка[[#This Row],[№]],Поиск_расходки[Индекс10],0)),"")</f>
        <v>Telescope ™ II 6F</v>
      </c>
      <c r="AB68" s="196" t="str">
        <f>IFERROR(INDEX(Расходка[Наименование расходного материала],MATCH(Расходка[[#This Row],[№]],Поиск_расходки[Индекс11],0)),"")</f>
        <v>Telescope ™ II 6F</v>
      </c>
      <c r="AC68" s="196" t="str">
        <f>IFERROR(INDEX(Расходка[Наименование расходного материала],MATCH(Расходка[[#This Row],[№]],Поиск_расходки[Индекс12],0)),"")</f>
        <v>Telescope ™ II 6F</v>
      </c>
      <c r="AD68" s="196" t="str">
        <f>IFERROR(INDEX(Расходка[Наименование расходного материала],MATCH(Расходка[[#This Row],[№]],Поиск_расходки[Индекс13],0)),"")</f>
        <v>Telescope ™ II 6F</v>
      </c>
      <c r="AF68" s="4" t="s">
        <v>6</v>
      </c>
      <c r="AG68" s="4" t="s">
        <v>459</v>
      </c>
    </row>
    <row r="69" spans="1:33">
      <c r="A69">
        <f>ROW(Расходка[[#This Row],[Тип расходного материала ]])-1</f>
        <v>68</v>
      </c>
      <c r="B69" t="s">
        <v>4</v>
      </c>
      <c r="C69" t="s">
        <v>349</v>
      </c>
      <c r="E69" s="195">
        <f>IF(ISNUMBER(SEARCH('Карта учёта'!$B$13,Расходка[[#This Row],[Наименование расходного материала]])),MAX($E$1:E68)+1,0)</f>
        <v>0</v>
      </c>
      <c r="F69" s="195">
        <f>IF(ISNUMBER(SEARCH('Карта учёта'!$B$14,Расходка[[#This Row],[Наименование расходного материала]])),MAX($F$1:F68)+1,0)</f>
        <v>0</v>
      </c>
      <c r="G69" s="195">
        <f>IF(ISNUMBER(SEARCH('Карта учёта'!$B$15,Расходка[[#This Row],[Наименование расходного материала]])),MAX($G$1:G68)+1,0)</f>
        <v>0</v>
      </c>
      <c r="H69" s="195">
        <f>IF(ISNUMBER(SEARCH('Карта учёта'!$B$16,Расходка[[#This Row],[Наименование расходного материала]])),MAX($H$1:H68)+1,0)</f>
        <v>0</v>
      </c>
      <c r="I69" s="195">
        <f>IF(ISNUMBER(SEARCH('Карта учёта'!$B$17,Расходка[[#This Row],[Наименование расходного материала]])),MAX($I$1:I68)+1,0)</f>
        <v>0</v>
      </c>
      <c r="J69" s="195">
        <f>IF(ISNUMBER(SEARCH('Карта учёта'!$B$18,Расходка[[#This Row],[Наименование расходного материала]])),MAX($J$1:J68)+1,0)</f>
        <v>0</v>
      </c>
      <c r="K69" s="195">
        <f>IF(ISNUMBER(SEARCH('Карта учёта'!$B$19,Расходка[[#This Row],[Наименование расходного материала]])),MAX($K$1:K68)+1,0)</f>
        <v>0</v>
      </c>
      <c r="L69" s="195">
        <f>IF(ISNUMBER(SEARCH('Карта учёта'!$B$20,Расходка[[#This Row],[Наименование расходного материала]])),MAX($L$1:L68)+1,0)</f>
        <v>0</v>
      </c>
      <c r="M69" s="195">
        <f>IF(ISNUMBER(SEARCH('Карта учёта'!$B$21,Расходка[[#This Row],[Наименование расходного материала]])),MAX($M$1:M68)+1,0)</f>
        <v>68</v>
      </c>
      <c r="N69" s="195">
        <f>IF(ISNUMBER(SEARCH('Карта учёта'!$B$22,Расходка[[#This Row],[Наименование расходного материала]])),MAX($N$1:N68)+1,0)</f>
        <v>68</v>
      </c>
      <c r="O69" s="195">
        <f>IF(ISNUMBER(SEARCH('Карта учёта'!$B$23,Расходка[[#This Row],[Наименование расходного материала]])),MAX($O$1:O68)+1,0)</f>
        <v>68</v>
      </c>
      <c r="P69" s="195">
        <f>IF(ISNUMBER(SEARCH('Карта учёта'!$B$24,Расходка[[#This Row],[Наименование расходного материала]])),MAX($P$1:P68)+1,0)</f>
        <v>68</v>
      </c>
      <c r="Q69" s="195">
        <f>IF(ISNUMBER(SEARCH('Карта учёта'!$B$25,Расходка[[#This Row],[Наименование расходного материала]])),MAX($Q$1:Q68)+1,0)</f>
        <v>68</v>
      </c>
      <c r="R69" s="196" t="str">
        <f>IFERROR(INDEX(Расходка[Наименование расходного материала],MATCH(Расходка[[#This Row],[№]],Поиск_расходки[Индекс1],0)),"")</f>
        <v/>
      </c>
      <c r="S69" s="196" t="str">
        <f>IFERROR(INDEX(Расходка[Наименование расходного материала],MATCH(Расходка[[#This Row],[№]],Поиск_расходки[Индекс2],0)),"")</f>
        <v/>
      </c>
      <c r="T69" s="196" t="str">
        <f>IFERROR(INDEX(Расходка[Наименование расходного материала],MATCH(Расходка[[#This Row],[№]],Поиск_расходки[Индекс3],0)),"")</f>
        <v/>
      </c>
      <c r="U69" s="196" t="str">
        <f>IFERROR(INDEX(Расходка[Наименование расходного материала],MATCH(Расходка[[#This Row],[№]],Поиск_расходки[Индекс4],0)),"")</f>
        <v/>
      </c>
      <c r="V69" s="196" t="str">
        <f>IFERROR(INDEX(Расходка[Наименование расходного материала],MATCH(Расходка[[#This Row],[№]],Поиск_расходки[Индекс5],0)),"")</f>
        <v/>
      </c>
      <c r="W69" s="196" t="str">
        <f>IFERROR(INDEX(Расходка[Наименование расходного материала],MATCH(Расходка[[#This Row],[№]],Поиск_расходки[Индекс6],0)),"")</f>
        <v/>
      </c>
      <c r="X69" s="196" t="str">
        <f>IFERROR(INDEX(Расходка[Наименование расходного материала],MATCH(Расходка[[#This Row],[№]],Поиск_расходки[Индекс7],0)),"")</f>
        <v/>
      </c>
      <c r="Y69" s="196" t="str">
        <f>IFERROR(INDEX(Расходка[Наименование расходного материала],MATCH(Расходка[[#This Row],[№]],Поиск_расходки[Индекс8],0)),"")</f>
        <v/>
      </c>
      <c r="Z69" s="196" t="str">
        <f>IFERROR(INDEX(Расходка[Наименование расходного материала],MATCH(Расходка[[#This Row],[№]],Поиск_расходки[Индекс9],0)),"")</f>
        <v>Launcher 6F AL 1</v>
      </c>
      <c r="AA69" s="196" t="str">
        <f>IFERROR(INDEX(Расходка[Наименование расходного материала],MATCH(Расходка[[#This Row],[№]],Поиск_расходки[Индекс10],0)),"")</f>
        <v>Launcher 6F AL 1</v>
      </c>
      <c r="AB69" s="196" t="str">
        <f>IFERROR(INDEX(Расходка[Наименование расходного материала],MATCH(Расходка[[#This Row],[№]],Поиск_расходки[Индекс11],0)),"")</f>
        <v>Launcher 6F AL 1</v>
      </c>
      <c r="AC69" s="196" t="str">
        <f>IFERROR(INDEX(Расходка[Наименование расходного материала],MATCH(Расходка[[#This Row],[№]],Поиск_расходки[Индекс12],0)),"")</f>
        <v>Launcher 6F AL 1</v>
      </c>
      <c r="AD69" s="196" t="str">
        <f>IFERROR(INDEX(Расходка[Наименование расходного материала],MATCH(Расходка[[#This Row],[№]],Поиск_расходки[Индекс13],0)),"")</f>
        <v>Launcher 6F AL 1</v>
      </c>
      <c r="AF69" s="4" t="s">
        <v>6</v>
      </c>
      <c r="AG69" s="4" t="s">
        <v>460</v>
      </c>
    </row>
    <row r="70" spans="1:33">
      <c r="A70">
        <f>ROW(Расходка[[#This Row],[Тип расходного материала ]])-1</f>
        <v>69</v>
      </c>
      <c r="B70" t="s">
        <v>4</v>
      </c>
      <c r="C70" t="s">
        <v>350</v>
      </c>
      <c r="E70" s="195">
        <f>IF(ISNUMBER(SEARCH('Карта учёта'!$B$13,Расходка[[#This Row],[Наименование расходного материала]])),MAX($E$1:E69)+1,0)</f>
        <v>0</v>
      </c>
      <c r="F70" s="195">
        <f>IF(ISNUMBER(SEARCH('Карта учёта'!$B$14,Расходка[[#This Row],[Наименование расходного материала]])),MAX($F$1:F69)+1,0)</f>
        <v>0</v>
      </c>
      <c r="G70" s="195">
        <f>IF(ISNUMBER(SEARCH('Карта учёта'!$B$15,Расходка[[#This Row],[Наименование расходного материала]])),MAX($G$1:G69)+1,0)</f>
        <v>0</v>
      </c>
      <c r="H70" s="195">
        <f>IF(ISNUMBER(SEARCH('Карта учёта'!$B$16,Расходка[[#This Row],[Наименование расходного материала]])),MAX($H$1:H69)+1,0)</f>
        <v>0</v>
      </c>
      <c r="I70" s="195">
        <f>IF(ISNUMBER(SEARCH('Карта учёта'!$B$17,Расходка[[#This Row],[Наименование расходного материала]])),MAX($I$1:I69)+1,0)</f>
        <v>0</v>
      </c>
      <c r="J70" s="195">
        <f>IF(ISNUMBER(SEARCH('Карта учёта'!$B$18,Расходка[[#This Row],[Наименование расходного материала]])),MAX($J$1:J69)+1,0)</f>
        <v>0</v>
      </c>
      <c r="K70" s="195">
        <f>IF(ISNUMBER(SEARCH('Карта учёта'!$B$19,Расходка[[#This Row],[Наименование расходного материала]])),MAX($K$1:K69)+1,0)</f>
        <v>0</v>
      </c>
      <c r="L70" s="195">
        <f>IF(ISNUMBER(SEARCH('Карта учёта'!$B$20,Расходка[[#This Row],[Наименование расходного материала]])),MAX($L$1:L69)+1,0)</f>
        <v>0</v>
      </c>
      <c r="M70" s="195">
        <f>IF(ISNUMBER(SEARCH('Карта учёта'!$B$21,Расходка[[#This Row],[Наименование расходного материала]])),MAX($M$1:M69)+1,0)</f>
        <v>69</v>
      </c>
      <c r="N70" s="195">
        <f>IF(ISNUMBER(SEARCH('Карта учёта'!$B$22,Расходка[[#This Row],[Наименование расходного материала]])),MAX($N$1:N69)+1,0)</f>
        <v>69</v>
      </c>
      <c r="O70" s="195">
        <f>IF(ISNUMBER(SEARCH('Карта учёта'!$B$23,Расходка[[#This Row],[Наименование расходного материала]])),MAX($O$1:O69)+1,0)</f>
        <v>69</v>
      </c>
      <c r="P70" s="195">
        <f>IF(ISNUMBER(SEARCH('Карта учёта'!$B$24,Расходка[[#This Row],[Наименование расходного материала]])),MAX($P$1:P69)+1,0)</f>
        <v>69</v>
      </c>
      <c r="Q70" s="195">
        <f>IF(ISNUMBER(SEARCH('Карта учёта'!$B$25,Расходка[[#This Row],[Наименование расходного материала]])),MAX($Q$1:Q69)+1,0)</f>
        <v>69</v>
      </c>
      <c r="R70" s="196" t="str">
        <f>IFERROR(INDEX(Расходка[Наименование расходного материала],MATCH(Расходка[[#This Row],[№]],Поиск_расходки[Индекс1],0)),"")</f>
        <v/>
      </c>
      <c r="S70" s="196" t="str">
        <f>IFERROR(INDEX(Расходка[Наименование расходного материала],MATCH(Расходка[[#This Row],[№]],Поиск_расходки[Индекс2],0)),"")</f>
        <v/>
      </c>
      <c r="T70" s="196" t="str">
        <f>IFERROR(INDEX(Расходка[Наименование расходного материала],MATCH(Расходка[[#This Row],[№]],Поиск_расходки[Индекс3],0)),"")</f>
        <v/>
      </c>
      <c r="U70" s="196" t="str">
        <f>IFERROR(INDEX(Расходка[Наименование расходного материала],MATCH(Расходка[[#This Row],[№]],Поиск_расходки[Индекс4],0)),"")</f>
        <v/>
      </c>
      <c r="V70" s="196" t="str">
        <f>IFERROR(INDEX(Расходка[Наименование расходного материала],MATCH(Расходка[[#This Row],[№]],Поиск_расходки[Индекс5],0)),"")</f>
        <v/>
      </c>
      <c r="W70" s="196" t="str">
        <f>IFERROR(INDEX(Расходка[Наименование расходного материала],MATCH(Расходка[[#This Row],[№]],Поиск_расходки[Индекс6],0)),"")</f>
        <v/>
      </c>
      <c r="X70" s="196" t="str">
        <f>IFERROR(INDEX(Расходка[Наименование расходного материала],MATCH(Расходка[[#This Row],[№]],Поиск_расходки[Индекс7],0)),"")</f>
        <v/>
      </c>
      <c r="Y70" s="196" t="str">
        <f>IFERROR(INDEX(Расходка[Наименование расходного материала],MATCH(Расходка[[#This Row],[№]],Поиск_расходки[Индекс8],0)),"")</f>
        <v/>
      </c>
      <c r="Z70" s="196" t="str">
        <f>IFERROR(INDEX(Расходка[Наименование расходного материала],MATCH(Расходка[[#This Row],[№]],Поиск_расходки[Индекс9],0)),"")</f>
        <v>Launcher 6F AL 2</v>
      </c>
      <c r="AA70" s="196" t="str">
        <f>IFERROR(INDEX(Расходка[Наименование расходного материала],MATCH(Расходка[[#This Row],[№]],Поиск_расходки[Индекс10],0)),"")</f>
        <v>Launcher 6F AL 2</v>
      </c>
      <c r="AB70" s="196" t="str">
        <f>IFERROR(INDEX(Расходка[Наименование расходного материала],MATCH(Расходка[[#This Row],[№]],Поиск_расходки[Индекс11],0)),"")</f>
        <v>Launcher 6F AL 2</v>
      </c>
      <c r="AC70" s="196" t="str">
        <f>IFERROR(INDEX(Расходка[Наименование расходного материала],MATCH(Расходка[[#This Row],[№]],Поиск_расходки[Индекс12],0)),"")</f>
        <v>Launcher 6F AL 2</v>
      </c>
      <c r="AD70" s="196" t="str">
        <f>IFERROR(INDEX(Расходка[Наименование расходного материала],MATCH(Расходка[[#This Row],[№]],Поиск_расходки[Индекс13],0)),"")</f>
        <v>Launcher 6F AL 2</v>
      </c>
      <c r="AF70" s="4" t="s">
        <v>6</v>
      </c>
      <c r="AG70" s="4" t="s">
        <v>461</v>
      </c>
    </row>
    <row r="71" spans="1:33">
      <c r="A71">
        <f>ROW(Расходка[[#This Row],[Тип расходного материала ]])-1</f>
        <v>70</v>
      </c>
      <c r="B71" t="s">
        <v>4</v>
      </c>
      <c r="C71" t="s">
        <v>324</v>
      </c>
      <c r="E71" s="195">
        <f>IF(ISNUMBER(SEARCH('Карта учёта'!$B$13,Расходка[[#This Row],[Наименование расходного материала]])),MAX($E$1:E70)+1,0)</f>
        <v>0</v>
      </c>
      <c r="F71" s="195">
        <f>IF(ISNUMBER(SEARCH('Карта учёта'!$B$14,Расходка[[#This Row],[Наименование расходного материала]])),MAX($F$1:F70)+1,0)</f>
        <v>1</v>
      </c>
      <c r="G71" s="195">
        <f>IF(ISNUMBER(SEARCH('Карта учёта'!$B$15,Расходка[[#This Row],[Наименование расходного материала]])),MAX($G$1:G70)+1,0)</f>
        <v>0</v>
      </c>
      <c r="H71" s="195">
        <f>IF(ISNUMBER(SEARCH('Карта учёта'!$B$16,Расходка[[#This Row],[Наименование расходного материала]])),MAX($H$1:H70)+1,0)</f>
        <v>0</v>
      </c>
      <c r="I71" s="195">
        <f>IF(ISNUMBER(SEARCH('Карта учёта'!$B$17,Расходка[[#This Row],[Наименование расходного материала]])),MAX($I$1:I70)+1,0)</f>
        <v>0</v>
      </c>
      <c r="J71" s="195">
        <f>IF(ISNUMBER(SEARCH('Карта учёта'!$B$18,Расходка[[#This Row],[Наименование расходного материала]])),MAX($J$1:J70)+1,0)</f>
        <v>0</v>
      </c>
      <c r="K71" s="195">
        <f>IF(ISNUMBER(SEARCH('Карта учёта'!$B$19,Расходка[[#This Row],[Наименование расходного материала]])),MAX($K$1:K70)+1,0)</f>
        <v>0</v>
      </c>
      <c r="L71" s="195">
        <f>IF(ISNUMBER(SEARCH('Карта учёта'!$B$20,Расходка[[#This Row],[Наименование расходного материала]])),MAX($L$1:L70)+1,0)</f>
        <v>0</v>
      </c>
      <c r="M71" s="195">
        <f>IF(ISNUMBER(SEARCH('Карта учёта'!$B$21,Расходка[[#This Row],[Наименование расходного материала]])),MAX($M$1:M70)+1,0)</f>
        <v>70</v>
      </c>
      <c r="N71" s="195">
        <f>IF(ISNUMBER(SEARCH('Карта учёта'!$B$22,Расходка[[#This Row],[Наименование расходного материала]])),MAX($N$1:N70)+1,0)</f>
        <v>70</v>
      </c>
      <c r="O71" s="195">
        <f>IF(ISNUMBER(SEARCH('Карта учёта'!$B$23,Расходка[[#This Row],[Наименование расходного материала]])),MAX($O$1:O70)+1,0)</f>
        <v>70</v>
      </c>
      <c r="P71" s="195">
        <f>IF(ISNUMBER(SEARCH('Карта учёта'!$B$24,Расходка[[#This Row],[Наименование расходного материала]])),MAX($P$1:P70)+1,0)</f>
        <v>70</v>
      </c>
      <c r="Q71" s="195">
        <f>IF(ISNUMBER(SEARCH('Карта учёта'!$B$25,Расходка[[#This Row],[Наименование расходного материала]])),MAX($Q$1:Q70)+1,0)</f>
        <v>70</v>
      </c>
      <c r="R71" s="196" t="str">
        <f>IFERROR(INDEX(Расходка[Наименование расходного материала],MATCH(Расходка[[#This Row],[№]],Поиск_расходки[Индекс1],0)),"")</f>
        <v/>
      </c>
      <c r="S71" s="196" t="str">
        <f>IFERROR(INDEX(Расходка[Наименование расходного материала],MATCH(Расходка[[#This Row],[№]],Поиск_расходки[Индекс2],0)),"")</f>
        <v/>
      </c>
      <c r="T71" s="196" t="str">
        <f>IFERROR(INDEX(Расходка[Наименование расходного материала],MATCH(Расходка[[#This Row],[№]],Поиск_расходки[Индекс3],0)),"")</f>
        <v/>
      </c>
      <c r="U71" s="196" t="str">
        <f>IFERROR(INDEX(Расходка[Наименование расходного материала],MATCH(Расходка[[#This Row],[№]],Поиск_расходки[Индекс4],0)),"")</f>
        <v/>
      </c>
      <c r="V71" s="196" t="str">
        <f>IFERROR(INDEX(Расходка[Наименование расходного материала],MATCH(Расходка[[#This Row],[№]],Поиск_расходки[Индекс5],0)),"")</f>
        <v/>
      </c>
      <c r="W71" s="196" t="str">
        <f>IFERROR(INDEX(Расходка[Наименование расходного материала],MATCH(Расходка[[#This Row],[№]],Поиск_расходки[Индекс6],0)),"")</f>
        <v/>
      </c>
      <c r="X71" s="196" t="str">
        <f>IFERROR(INDEX(Расходка[Наименование расходного материала],MATCH(Расходка[[#This Row],[№]],Поиск_расходки[Индекс7],0)),"")</f>
        <v/>
      </c>
      <c r="Y71" s="196" t="str">
        <f>IFERROR(INDEX(Расходка[Наименование расходного материала],MATCH(Расходка[[#This Row],[№]],Поиск_расходки[Индекс8],0)),"")</f>
        <v/>
      </c>
      <c r="Z71" s="196" t="str">
        <f>IFERROR(INDEX(Расходка[Наименование расходного материала],MATCH(Расходка[[#This Row],[№]],Поиск_расходки[Индекс9],0)),"")</f>
        <v>Launcher 6F EBU 3.5</v>
      </c>
      <c r="AA71" s="196" t="str">
        <f>IFERROR(INDEX(Расходка[Наименование расходного материала],MATCH(Расходка[[#This Row],[№]],Поиск_расходки[Индекс10],0)),"")</f>
        <v>Launcher 6F EBU 3.5</v>
      </c>
      <c r="AB71" s="196" t="str">
        <f>IFERROR(INDEX(Расходка[Наименование расходного материала],MATCH(Расходка[[#This Row],[№]],Поиск_расходки[Индекс11],0)),"")</f>
        <v>Launcher 6F EBU 3.5</v>
      </c>
      <c r="AC71" s="196" t="str">
        <f>IFERROR(INDEX(Расходка[Наименование расходного материала],MATCH(Расходка[[#This Row],[№]],Поиск_расходки[Индекс12],0)),"")</f>
        <v>Launcher 6F EBU 3.5</v>
      </c>
      <c r="AD71" s="196" t="str">
        <f>IFERROR(INDEX(Расходка[Наименование расходного материала],MATCH(Расходка[[#This Row],[№]],Поиск_расходки[Индекс13],0)),"")</f>
        <v>Launcher 6F EBU 3.5</v>
      </c>
      <c r="AF71" s="4" t="s">
        <v>6</v>
      </c>
      <c r="AG71" s="4" t="s">
        <v>416</v>
      </c>
    </row>
    <row r="72" spans="1:33">
      <c r="A72">
        <f>ROW(Расходка[[#This Row],[Тип расходного материала ]])-1</f>
        <v>71</v>
      </c>
      <c r="B72" t="s">
        <v>4</v>
      </c>
      <c r="C72" t="s">
        <v>325</v>
      </c>
      <c r="E72" s="195">
        <f>IF(ISNUMBER(SEARCH('Карта учёта'!$B$13,Расходка[[#This Row],[Наименование расходного материала]])),MAX($E$1:E71)+1,0)</f>
        <v>0</v>
      </c>
      <c r="F72" s="195">
        <f>IF(ISNUMBER(SEARCH('Карта учёта'!$B$14,Расходка[[#This Row],[Наименование расходного материала]])),MAX($F$1:F71)+1,0)</f>
        <v>0</v>
      </c>
      <c r="G72" s="195">
        <f>IF(ISNUMBER(SEARCH('Карта учёта'!$B$15,Расходка[[#This Row],[Наименование расходного материала]])),MAX($G$1:G71)+1,0)</f>
        <v>0</v>
      </c>
      <c r="H72" s="195">
        <f>IF(ISNUMBER(SEARCH('Карта учёта'!$B$16,Расходка[[#This Row],[Наименование расходного материала]])),MAX($H$1:H71)+1,0)</f>
        <v>0</v>
      </c>
      <c r="I72" s="195">
        <f>IF(ISNUMBER(SEARCH('Карта учёта'!$B$17,Расходка[[#This Row],[Наименование расходного материала]])),MAX($I$1:I71)+1,0)</f>
        <v>0</v>
      </c>
      <c r="J72" s="195">
        <f>IF(ISNUMBER(SEARCH('Карта учёта'!$B$18,Расходка[[#This Row],[Наименование расходного материала]])),MAX($J$1:J71)+1,0)</f>
        <v>0</v>
      </c>
      <c r="K72" s="195">
        <f>IF(ISNUMBER(SEARCH('Карта учёта'!$B$19,Расходка[[#This Row],[Наименование расходного материала]])),MAX($K$1:K71)+1,0)</f>
        <v>0</v>
      </c>
      <c r="L72" s="195">
        <f>IF(ISNUMBER(SEARCH('Карта учёта'!$B$20,Расходка[[#This Row],[Наименование расходного материала]])),MAX($L$1:L71)+1,0)</f>
        <v>0</v>
      </c>
      <c r="M72" s="195">
        <f>IF(ISNUMBER(SEARCH('Карта учёта'!$B$21,Расходка[[#This Row],[Наименование расходного материала]])),MAX($M$1:M71)+1,0)</f>
        <v>71</v>
      </c>
      <c r="N72" s="195">
        <f>IF(ISNUMBER(SEARCH('Карта учёта'!$B$22,Расходка[[#This Row],[Наименование расходного материала]])),MAX($N$1:N71)+1,0)</f>
        <v>71</v>
      </c>
      <c r="O72" s="195">
        <f>IF(ISNUMBER(SEARCH('Карта учёта'!$B$23,Расходка[[#This Row],[Наименование расходного материала]])),MAX($O$1:O71)+1,0)</f>
        <v>71</v>
      </c>
      <c r="P72" s="195">
        <f>IF(ISNUMBER(SEARCH('Карта учёта'!$B$24,Расходка[[#This Row],[Наименование расходного материала]])),MAX($P$1:P71)+1,0)</f>
        <v>71</v>
      </c>
      <c r="Q72" s="195">
        <f>IF(ISNUMBER(SEARCH('Карта учёта'!$B$25,Расходка[[#This Row],[Наименование расходного материала]])),MAX($Q$1:Q71)+1,0)</f>
        <v>71</v>
      </c>
      <c r="R72" s="196" t="str">
        <f>IFERROR(INDEX(Расходка[Наименование расходного материала],MATCH(Расходка[[#This Row],[№]],Поиск_расходки[Индекс1],0)),"")</f>
        <v/>
      </c>
      <c r="S72" s="196" t="str">
        <f>IFERROR(INDEX(Расходка[Наименование расходного материала],MATCH(Расходка[[#This Row],[№]],Поиск_расходки[Индекс2],0)),"")</f>
        <v/>
      </c>
      <c r="T72" s="196" t="str">
        <f>IFERROR(INDEX(Расходка[Наименование расходного материала],MATCH(Расходка[[#This Row],[№]],Поиск_расходки[Индекс3],0)),"")</f>
        <v/>
      </c>
      <c r="U72" s="196" t="str">
        <f>IFERROR(INDEX(Расходка[Наименование расходного материала],MATCH(Расходка[[#This Row],[№]],Поиск_расходки[Индекс4],0)),"")</f>
        <v/>
      </c>
      <c r="V72" s="196" t="str">
        <f>IFERROR(INDEX(Расходка[Наименование расходного материала],MATCH(Расходка[[#This Row],[№]],Поиск_расходки[Индекс5],0)),"")</f>
        <v/>
      </c>
      <c r="W72" s="196" t="str">
        <f>IFERROR(INDEX(Расходка[Наименование расходного материала],MATCH(Расходка[[#This Row],[№]],Поиск_расходки[Индекс6],0)),"")</f>
        <v/>
      </c>
      <c r="X72" s="196" t="str">
        <f>IFERROR(INDEX(Расходка[Наименование расходного материала],MATCH(Расходка[[#This Row],[№]],Поиск_расходки[Индекс7],0)),"")</f>
        <v/>
      </c>
      <c r="Y72" s="196" t="str">
        <f>IFERROR(INDEX(Расходка[Наименование расходного материала],MATCH(Расходка[[#This Row],[№]],Поиск_расходки[Индекс8],0)),"")</f>
        <v/>
      </c>
      <c r="Z72" s="196" t="str">
        <f>IFERROR(INDEX(Расходка[Наименование расходного материала],MATCH(Расходка[[#This Row],[№]],Поиск_расходки[Индекс9],0)),"")</f>
        <v>Launcher 6F EBU 4.0</v>
      </c>
      <c r="AA72" s="196" t="str">
        <f>IFERROR(INDEX(Расходка[Наименование расходного материала],MATCH(Расходка[[#This Row],[№]],Поиск_расходки[Индекс10],0)),"")</f>
        <v>Launcher 6F EBU 4.0</v>
      </c>
      <c r="AB72" s="196" t="str">
        <f>IFERROR(INDEX(Расходка[Наименование расходного материала],MATCH(Расходка[[#This Row],[№]],Поиск_расходки[Индекс11],0)),"")</f>
        <v>Launcher 6F EBU 4.0</v>
      </c>
      <c r="AC72" s="196" t="str">
        <f>IFERROR(INDEX(Расходка[Наименование расходного материала],MATCH(Расходка[[#This Row],[№]],Поиск_расходки[Индекс12],0)),"")</f>
        <v>Launcher 6F EBU 4.0</v>
      </c>
      <c r="AD72" s="196" t="str">
        <f>IFERROR(INDEX(Расходка[Наименование расходного материала],MATCH(Расходка[[#This Row],[№]],Поиск_расходки[Индекс13],0)),"")</f>
        <v>Launcher 6F EBU 4.0</v>
      </c>
      <c r="AF72" s="4" t="s">
        <v>6</v>
      </c>
      <c r="AG72" s="4" t="s">
        <v>462</v>
      </c>
    </row>
    <row r="73" spans="1:33">
      <c r="A73">
        <f>ROW(Расходка[[#This Row],[Тип расходного материала ]])-1</f>
        <v>72</v>
      </c>
      <c r="B73" t="s">
        <v>4</v>
      </c>
      <c r="C73" t="s">
        <v>326</v>
      </c>
      <c r="E73" s="195">
        <f>IF(ISNUMBER(SEARCH('Карта учёта'!$B$13,Расходка[[#This Row],[Наименование расходного материала]])),MAX($E$1:E72)+1,0)</f>
        <v>0</v>
      </c>
      <c r="F73" s="195">
        <f>IF(ISNUMBER(SEARCH('Карта учёта'!$B$14,Расходка[[#This Row],[Наименование расходного материала]])),MAX($F$1:F72)+1,0)</f>
        <v>0</v>
      </c>
      <c r="G73" s="195">
        <f>IF(ISNUMBER(SEARCH('Карта учёта'!$B$15,Расходка[[#This Row],[Наименование расходного материала]])),MAX($G$1:G72)+1,0)</f>
        <v>0</v>
      </c>
      <c r="H73" s="195">
        <f>IF(ISNUMBER(SEARCH('Карта учёта'!$B$16,Расходка[[#This Row],[Наименование расходного материала]])),MAX($H$1:H72)+1,0)</f>
        <v>0</v>
      </c>
      <c r="I73" s="195">
        <f>IF(ISNUMBER(SEARCH('Карта учёта'!$B$17,Расходка[[#This Row],[Наименование расходного материала]])),MAX($I$1:I72)+1,0)</f>
        <v>0</v>
      </c>
      <c r="J73" s="195">
        <f>IF(ISNUMBER(SEARCH('Карта учёта'!$B$18,Расходка[[#This Row],[Наименование расходного материала]])),MAX($J$1:J72)+1,0)</f>
        <v>0</v>
      </c>
      <c r="K73" s="195">
        <f>IF(ISNUMBER(SEARCH('Карта учёта'!$B$19,Расходка[[#This Row],[Наименование расходного материала]])),MAX($K$1:K72)+1,0)</f>
        <v>0</v>
      </c>
      <c r="L73" s="195">
        <f>IF(ISNUMBER(SEARCH('Карта учёта'!$B$20,Расходка[[#This Row],[Наименование расходного материала]])),MAX($L$1:L72)+1,0)</f>
        <v>0</v>
      </c>
      <c r="M73" s="195">
        <f>IF(ISNUMBER(SEARCH('Карта учёта'!$B$21,Расходка[[#This Row],[Наименование расходного материала]])),MAX($M$1:M72)+1,0)</f>
        <v>72</v>
      </c>
      <c r="N73" s="195">
        <f>IF(ISNUMBER(SEARCH('Карта учёта'!$B$22,Расходка[[#This Row],[Наименование расходного материала]])),MAX($N$1:N72)+1,0)</f>
        <v>72</v>
      </c>
      <c r="O73" s="195">
        <f>IF(ISNUMBER(SEARCH('Карта учёта'!$B$23,Расходка[[#This Row],[Наименование расходного материала]])),MAX($O$1:O72)+1,0)</f>
        <v>72</v>
      </c>
      <c r="P73" s="195">
        <f>IF(ISNUMBER(SEARCH('Карта учёта'!$B$24,Расходка[[#This Row],[Наименование расходного материала]])),MAX($P$1:P72)+1,0)</f>
        <v>72</v>
      </c>
      <c r="Q73" s="195">
        <f>IF(ISNUMBER(SEARCH('Карта учёта'!$B$25,Расходка[[#This Row],[Наименование расходного материала]])),MAX($Q$1:Q72)+1,0)</f>
        <v>72</v>
      </c>
      <c r="R73" s="196" t="str">
        <f>IFERROR(INDEX(Расходка[Наименование расходного материала],MATCH(Расходка[[#This Row],[№]],Поиск_расходки[Индекс1],0)),"")</f>
        <v/>
      </c>
      <c r="S73" s="196" t="str">
        <f>IFERROR(INDEX(Расходка[Наименование расходного материала],MATCH(Расходка[[#This Row],[№]],Поиск_расходки[Индекс2],0)),"")</f>
        <v/>
      </c>
      <c r="T73" s="196" t="str">
        <f>IFERROR(INDEX(Расходка[Наименование расходного материала],MATCH(Расходка[[#This Row],[№]],Поиск_расходки[Индекс3],0)),"")</f>
        <v/>
      </c>
      <c r="U73" s="196" t="str">
        <f>IFERROR(INDEX(Расходка[Наименование расходного материала],MATCH(Расходка[[#This Row],[№]],Поиск_расходки[Индекс4],0)),"")</f>
        <v/>
      </c>
      <c r="V73" s="196" t="str">
        <f>IFERROR(INDEX(Расходка[Наименование расходного материала],MATCH(Расходка[[#This Row],[№]],Поиск_расходки[Индекс5],0)),"")</f>
        <v/>
      </c>
      <c r="W73" s="196" t="str">
        <f>IFERROR(INDEX(Расходка[Наименование расходного материала],MATCH(Расходка[[#This Row],[№]],Поиск_расходки[Индекс6],0)),"")</f>
        <v/>
      </c>
      <c r="X73" s="196" t="str">
        <f>IFERROR(INDEX(Расходка[Наименование расходного материала],MATCH(Расходка[[#This Row],[№]],Поиск_расходки[Индекс7],0)),"")</f>
        <v/>
      </c>
      <c r="Y73" s="196" t="str">
        <f>IFERROR(INDEX(Расходка[Наименование расходного материала],MATCH(Расходка[[#This Row],[№]],Поиск_расходки[Индекс8],0)),"")</f>
        <v/>
      </c>
      <c r="Z73" s="196" t="str">
        <f>IFERROR(INDEX(Расходка[Наименование расходного материала],MATCH(Расходка[[#This Row],[№]],Поиск_расходки[Индекс9],0)),"")</f>
        <v>Launcher 6F JL 3.5</v>
      </c>
      <c r="AA73" s="196" t="str">
        <f>IFERROR(INDEX(Расходка[Наименование расходного материала],MATCH(Расходка[[#This Row],[№]],Поиск_расходки[Индекс10],0)),"")</f>
        <v>Launcher 6F JL 3.5</v>
      </c>
      <c r="AB73" s="196" t="str">
        <f>IFERROR(INDEX(Расходка[Наименование расходного материала],MATCH(Расходка[[#This Row],[№]],Поиск_расходки[Индекс11],0)),"")</f>
        <v>Launcher 6F JL 3.5</v>
      </c>
      <c r="AC73" s="196" t="str">
        <f>IFERROR(INDEX(Расходка[Наименование расходного материала],MATCH(Расходка[[#This Row],[№]],Поиск_расходки[Индекс12],0)),"")</f>
        <v>Launcher 6F JL 3.5</v>
      </c>
      <c r="AD73" s="196" t="str">
        <f>IFERROR(INDEX(Расходка[Наименование расходного материала],MATCH(Расходка[[#This Row],[№]],Поиск_расходки[Индекс13],0)),"")</f>
        <v>Launcher 6F JL 3.5</v>
      </c>
      <c r="AF73" s="4" t="s">
        <v>6</v>
      </c>
      <c r="AG73" s="4" t="s">
        <v>417</v>
      </c>
    </row>
    <row r="74" spans="1:33">
      <c r="A74">
        <f>ROW(Расходка[[#This Row],[Тип расходного материала ]])-1</f>
        <v>73</v>
      </c>
      <c r="B74" t="s">
        <v>4</v>
      </c>
      <c r="C74" t="s">
        <v>327</v>
      </c>
      <c r="E74" s="195">
        <f>IF(ISNUMBER(SEARCH('Карта учёта'!$B$13,Расходка[[#This Row],[Наименование расходного материала]])),MAX($E$1:E73)+1,0)</f>
        <v>0</v>
      </c>
      <c r="F74" s="195">
        <f>IF(ISNUMBER(SEARCH('Карта учёта'!$B$14,Расходка[[#This Row],[Наименование расходного материала]])),MAX($F$1:F73)+1,0)</f>
        <v>0</v>
      </c>
      <c r="G74" s="195">
        <f>IF(ISNUMBER(SEARCH('Карта учёта'!$B$15,Расходка[[#This Row],[Наименование расходного материала]])),MAX($G$1:G73)+1,0)</f>
        <v>0</v>
      </c>
      <c r="H74" s="195">
        <f>IF(ISNUMBER(SEARCH('Карта учёта'!$B$16,Расходка[[#This Row],[Наименование расходного материала]])),MAX($H$1:H73)+1,0)</f>
        <v>0</v>
      </c>
      <c r="I74" s="195">
        <f>IF(ISNUMBER(SEARCH('Карта учёта'!$B$17,Расходка[[#This Row],[Наименование расходного материала]])),MAX($I$1:I73)+1,0)</f>
        <v>0</v>
      </c>
      <c r="J74" s="195">
        <f>IF(ISNUMBER(SEARCH('Карта учёта'!$B$18,Расходка[[#This Row],[Наименование расходного материала]])),MAX($J$1:J73)+1,0)</f>
        <v>0</v>
      </c>
      <c r="K74" s="195">
        <f>IF(ISNUMBER(SEARCH('Карта учёта'!$B$19,Расходка[[#This Row],[Наименование расходного материала]])),MAX($K$1:K73)+1,0)</f>
        <v>0</v>
      </c>
      <c r="L74" s="195">
        <f>IF(ISNUMBER(SEARCH('Карта учёта'!$B$20,Расходка[[#This Row],[Наименование расходного материала]])),MAX($L$1:L73)+1,0)</f>
        <v>0</v>
      </c>
      <c r="M74" s="195">
        <f>IF(ISNUMBER(SEARCH('Карта учёта'!$B$21,Расходка[[#This Row],[Наименование расходного материала]])),MAX($M$1:M73)+1,0)</f>
        <v>73</v>
      </c>
      <c r="N74" s="195">
        <f>IF(ISNUMBER(SEARCH('Карта учёта'!$B$22,Расходка[[#This Row],[Наименование расходного материала]])),MAX($N$1:N73)+1,0)</f>
        <v>73</v>
      </c>
      <c r="O74" s="195">
        <f>IF(ISNUMBER(SEARCH('Карта учёта'!$B$23,Расходка[[#This Row],[Наименование расходного материала]])),MAX($O$1:O73)+1,0)</f>
        <v>73</v>
      </c>
      <c r="P74" s="195">
        <f>IF(ISNUMBER(SEARCH('Карта учёта'!$B$24,Расходка[[#This Row],[Наименование расходного материала]])),MAX($P$1:P73)+1,0)</f>
        <v>73</v>
      </c>
      <c r="Q74" s="195">
        <f>IF(ISNUMBER(SEARCH('Карта учёта'!$B$25,Расходка[[#This Row],[Наименование расходного материала]])),MAX($Q$1:Q73)+1,0)</f>
        <v>73</v>
      </c>
      <c r="R74" s="196" t="str">
        <f>IFERROR(INDEX(Расходка[Наименование расходного материала],MATCH(Расходка[[#This Row],[№]],Поиск_расходки[Индекс1],0)),"")</f>
        <v/>
      </c>
      <c r="S74" s="196" t="str">
        <f>IFERROR(INDEX(Расходка[Наименование расходного материала],MATCH(Расходка[[#This Row],[№]],Поиск_расходки[Индекс2],0)),"")</f>
        <v/>
      </c>
      <c r="T74" s="196" t="str">
        <f>IFERROR(INDEX(Расходка[Наименование расходного материала],MATCH(Расходка[[#This Row],[№]],Поиск_расходки[Индекс3],0)),"")</f>
        <v/>
      </c>
      <c r="U74" s="196" t="str">
        <f>IFERROR(INDEX(Расходка[Наименование расходного материала],MATCH(Расходка[[#This Row],[№]],Поиск_расходки[Индекс4],0)),"")</f>
        <v/>
      </c>
      <c r="V74" s="196" t="str">
        <f>IFERROR(INDEX(Расходка[Наименование расходного материала],MATCH(Расходка[[#This Row],[№]],Поиск_расходки[Индекс5],0)),"")</f>
        <v/>
      </c>
      <c r="W74" s="196" t="str">
        <f>IFERROR(INDEX(Расходка[Наименование расходного материала],MATCH(Расходка[[#This Row],[№]],Поиск_расходки[Индекс6],0)),"")</f>
        <v/>
      </c>
      <c r="X74" s="196" t="str">
        <f>IFERROR(INDEX(Расходка[Наименование расходного материала],MATCH(Расходка[[#This Row],[№]],Поиск_расходки[Индекс7],0)),"")</f>
        <v/>
      </c>
      <c r="Y74" s="196" t="str">
        <f>IFERROR(INDEX(Расходка[Наименование расходного материала],MATCH(Расходка[[#This Row],[№]],Поиск_расходки[Индекс8],0)),"")</f>
        <v/>
      </c>
      <c r="Z74" s="196" t="str">
        <f>IFERROR(INDEX(Расходка[Наименование расходного материала],MATCH(Расходка[[#This Row],[№]],Поиск_расходки[Индекс9],0)),"")</f>
        <v>Launcher 6F JL 4.0</v>
      </c>
      <c r="AA74" s="196" t="str">
        <f>IFERROR(INDEX(Расходка[Наименование расходного материала],MATCH(Расходка[[#This Row],[№]],Поиск_расходки[Индекс10],0)),"")</f>
        <v>Launcher 6F JL 4.0</v>
      </c>
      <c r="AB74" s="196" t="str">
        <f>IFERROR(INDEX(Расходка[Наименование расходного материала],MATCH(Расходка[[#This Row],[№]],Поиск_расходки[Индекс11],0)),"")</f>
        <v>Launcher 6F JL 4.0</v>
      </c>
      <c r="AC74" s="196" t="str">
        <f>IFERROR(INDEX(Расходка[Наименование расходного материала],MATCH(Расходка[[#This Row],[№]],Поиск_расходки[Индекс12],0)),"")</f>
        <v>Launcher 6F JL 4.0</v>
      </c>
      <c r="AD74" s="196" t="str">
        <f>IFERROR(INDEX(Расходка[Наименование расходного материала],MATCH(Расходка[[#This Row],[№]],Поиск_расходки[Индекс13],0)),"")</f>
        <v>Launcher 6F JL 4.0</v>
      </c>
      <c r="AF74" s="4" t="s">
        <v>6</v>
      </c>
      <c r="AG74" s="4" t="s">
        <v>463</v>
      </c>
    </row>
    <row r="75" spans="1:33">
      <c r="A75">
        <f>ROW(Расходка[[#This Row],[Тип расходного материала ]])-1</f>
        <v>74</v>
      </c>
      <c r="B75" t="s">
        <v>4</v>
      </c>
      <c r="C75" t="s">
        <v>333</v>
      </c>
      <c r="E75" s="195">
        <f>IF(ISNUMBER(SEARCH('Карта учёта'!$B$13,Расходка[[#This Row],[Наименование расходного материала]])),MAX($E$1:E74)+1,0)</f>
        <v>0</v>
      </c>
      <c r="F75" s="195">
        <f>IF(ISNUMBER(SEARCH('Карта учёта'!$B$14,Расходка[[#This Row],[Наименование расходного материала]])),MAX($F$1:F74)+1,0)</f>
        <v>0</v>
      </c>
      <c r="G75" s="195">
        <f>IF(ISNUMBER(SEARCH('Карта учёта'!$B$15,Расходка[[#This Row],[Наименование расходного материала]])),MAX($G$1:G74)+1,0)</f>
        <v>0</v>
      </c>
      <c r="H75" s="195">
        <f>IF(ISNUMBER(SEARCH('Карта учёта'!$B$16,Расходка[[#This Row],[Наименование расходного материала]])),MAX($H$1:H74)+1,0)</f>
        <v>0</v>
      </c>
      <c r="I75" s="195">
        <f>IF(ISNUMBER(SEARCH('Карта учёта'!$B$17,Расходка[[#This Row],[Наименование расходного материала]])),MAX($I$1:I74)+1,0)</f>
        <v>0</v>
      </c>
      <c r="J75" s="195">
        <f>IF(ISNUMBER(SEARCH('Карта учёта'!$B$18,Расходка[[#This Row],[Наименование расходного материала]])),MAX($J$1:J74)+1,0)</f>
        <v>0</v>
      </c>
      <c r="K75" s="195">
        <f>IF(ISNUMBER(SEARCH('Карта учёта'!$B$19,Расходка[[#This Row],[Наименование расходного материала]])),MAX($K$1:K74)+1,0)</f>
        <v>0</v>
      </c>
      <c r="L75" s="195">
        <f>IF(ISNUMBER(SEARCH('Карта учёта'!$B$20,Расходка[[#This Row],[Наименование расходного материала]])),MAX($L$1:L74)+1,0)</f>
        <v>0</v>
      </c>
      <c r="M75" s="195">
        <f>IF(ISNUMBER(SEARCH('Карта учёта'!$B$21,Расходка[[#This Row],[Наименование расходного материала]])),MAX($M$1:M74)+1,0)</f>
        <v>74</v>
      </c>
      <c r="N75" s="195">
        <f>IF(ISNUMBER(SEARCH('Карта учёта'!$B$22,Расходка[[#This Row],[Наименование расходного материала]])),MAX($N$1:N74)+1,0)</f>
        <v>74</v>
      </c>
      <c r="O75" s="195">
        <f>IF(ISNUMBER(SEARCH('Карта учёта'!$B$23,Расходка[[#This Row],[Наименование расходного материала]])),MAX($O$1:O74)+1,0)</f>
        <v>74</v>
      </c>
      <c r="P75" s="195">
        <f>IF(ISNUMBER(SEARCH('Карта учёта'!$B$24,Расходка[[#This Row],[Наименование расходного материала]])),MAX($P$1:P74)+1,0)</f>
        <v>74</v>
      </c>
      <c r="Q75" s="195">
        <f>IF(ISNUMBER(SEARCH('Карта учёта'!$B$25,Расходка[[#This Row],[Наименование расходного материала]])),MAX($Q$1:Q74)+1,0)</f>
        <v>74</v>
      </c>
      <c r="R75" s="196" t="str">
        <f>IFERROR(INDEX(Расходка[Наименование расходного материала],MATCH(Расходка[[#This Row],[№]],Поиск_расходки[Индекс1],0)),"")</f>
        <v/>
      </c>
      <c r="S75" s="196" t="str">
        <f>IFERROR(INDEX(Расходка[Наименование расходного материала],MATCH(Расходка[[#This Row],[№]],Поиск_расходки[Индекс2],0)),"")</f>
        <v/>
      </c>
      <c r="T75" s="196" t="str">
        <f>IFERROR(INDEX(Расходка[Наименование расходного материала],MATCH(Расходка[[#This Row],[№]],Поиск_расходки[Индекс3],0)),"")</f>
        <v/>
      </c>
      <c r="U75" s="196" t="str">
        <f>IFERROR(INDEX(Расходка[Наименование расходного материала],MATCH(Расходка[[#This Row],[№]],Поиск_расходки[Индекс4],0)),"")</f>
        <v/>
      </c>
      <c r="V75" s="196" t="str">
        <f>IFERROR(INDEX(Расходка[Наименование расходного материала],MATCH(Расходка[[#This Row],[№]],Поиск_расходки[Индекс5],0)),"")</f>
        <v/>
      </c>
      <c r="W75" s="196" t="str">
        <f>IFERROR(INDEX(Расходка[Наименование расходного материала],MATCH(Расходка[[#This Row],[№]],Поиск_расходки[Индекс6],0)),"")</f>
        <v/>
      </c>
      <c r="X75" s="196" t="str">
        <f>IFERROR(INDEX(Расходка[Наименование расходного материала],MATCH(Расходка[[#This Row],[№]],Поиск_расходки[Индекс7],0)),"")</f>
        <v/>
      </c>
      <c r="Y75" s="196" t="str">
        <f>IFERROR(INDEX(Расходка[Наименование расходного материала],MATCH(Расходка[[#This Row],[№]],Поиск_расходки[Индекс8],0)),"")</f>
        <v/>
      </c>
      <c r="Z75" s="196" t="str">
        <f>IFERROR(INDEX(Расходка[Наименование расходного материала],MATCH(Расходка[[#This Row],[№]],Поиск_расходки[Индекс9],0)),"")</f>
        <v>Launcher 6F JL 4.5</v>
      </c>
      <c r="AA75" s="196" t="str">
        <f>IFERROR(INDEX(Расходка[Наименование расходного материала],MATCH(Расходка[[#This Row],[№]],Поиск_расходки[Индекс10],0)),"")</f>
        <v>Launcher 6F JL 4.5</v>
      </c>
      <c r="AB75" s="196" t="str">
        <f>IFERROR(INDEX(Расходка[Наименование расходного материала],MATCH(Расходка[[#This Row],[№]],Поиск_расходки[Индекс11],0)),"")</f>
        <v>Launcher 6F JL 4.5</v>
      </c>
      <c r="AC75" s="196" t="str">
        <f>IFERROR(INDEX(Расходка[Наименование расходного материала],MATCH(Расходка[[#This Row],[№]],Поиск_расходки[Индекс12],0)),"")</f>
        <v>Launcher 6F JL 4.5</v>
      </c>
      <c r="AD75" s="196" t="str">
        <f>IFERROR(INDEX(Расходка[Наименование расходного материала],MATCH(Расходка[[#This Row],[№]],Поиск_расходки[Индекс13],0)),"")</f>
        <v>Launcher 6F JL 4.5</v>
      </c>
      <c r="AF75" s="4" t="s">
        <v>6</v>
      </c>
      <c r="AG75" s="4" t="s">
        <v>464</v>
      </c>
    </row>
    <row r="76" spans="1:33">
      <c r="A76">
        <f>ROW(Расходка[[#This Row],[Тип расходного материала ]])-1</f>
        <v>75</v>
      </c>
      <c r="B76" t="s">
        <v>4</v>
      </c>
      <c r="C76" t="s">
        <v>328</v>
      </c>
      <c r="E76" s="195">
        <f>IF(ISNUMBER(SEARCH('Карта учёта'!$B$13,Расходка[[#This Row],[Наименование расходного материала]])),MAX($E$1:E75)+1,0)</f>
        <v>0</v>
      </c>
      <c r="F76" s="195">
        <f>IF(ISNUMBER(SEARCH('Карта учёта'!$B$14,Расходка[[#This Row],[Наименование расходного материала]])),MAX($F$1:F75)+1,0)</f>
        <v>0</v>
      </c>
      <c r="G76" s="195">
        <f>IF(ISNUMBER(SEARCH('Карта учёта'!$B$15,Расходка[[#This Row],[Наименование расходного материала]])),MAX($G$1:G75)+1,0)</f>
        <v>0</v>
      </c>
      <c r="H76" s="195">
        <f>IF(ISNUMBER(SEARCH('Карта учёта'!$B$16,Расходка[[#This Row],[Наименование расходного материала]])),MAX($H$1:H75)+1,0)</f>
        <v>0</v>
      </c>
      <c r="I76" s="195">
        <f>IF(ISNUMBER(SEARCH('Карта учёта'!$B$17,Расходка[[#This Row],[Наименование расходного материала]])),MAX($I$1:I75)+1,0)</f>
        <v>0</v>
      </c>
      <c r="J76" s="195">
        <f>IF(ISNUMBER(SEARCH('Карта учёта'!$B$18,Расходка[[#This Row],[Наименование расходного материала]])),MAX($J$1:J75)+1,0)</f>
        <v>0</v>
      </c>
      <c r="K76" s="195">
        <f>IF(ISNUMBER(SEARCH('Карта учёта'!$B$19,Расходка[[#This Row],[Наименование расходного материала]])),MAX($K$1:K75)+1,0)</f>
        <v>0</v>
      </c>
      <c r="L76" s="195">
        <f>IF(ISNUMBER(SEARCH('Карта учёта'!$B$20,Расходка[[#This Row],[Наименование расходного материала]])),MAX($L$1:L75)+1,0)</f>
        <v>0</v>
      </c>
      <c r="M76" s="195">
        <f>IF(ISNUMBER(SEARCH('Карта учёта'!$B$21,Расходка[[#This Row],[Наименование расходного материала]])),MAX($M$1:M75)+1,0)</f>
        <v>75</v>
      </c>
      <c r="N76" s="195">
        <f>IF(ISNUMBER(SEARCH('Карта учёта'!$B$22,Расходка[[#This Row],[Наименование расходного материала]])),MAX($N$1:N75)+1,0)</f>
        <v>75</v>
      </c>
      <c r="O76" s="195">
        <f>IF(ISNUMBER(SEARCH('Карта учёта'!$B$23,Расходка[[#This Row],[Наименование расходного материала]])),MAX($O$1:O75)+1,0)</f>
        <v>75</v>
      </c>
      <c r="P76" s="195">
        <f>IF(ISNUMBER(SEARCH('Карта учёта'!$B$24,Расходка[[#This Row],[Наименование расходного материала]])),MAX($P$1:P75)+1,0)</f>
        <v>75</v>
      </c>
      <c r="Q76" s="195">
        <f>IF(ISNUMBER(SEARCH('Карта учёта'!$B$25,Расходка[[#This Row],[Наименование расходного материала]])),MAX($Q$1:Q75)+1,0)</f>
        <v>75</v>
      </c>
      <c r="R76" s="196" t="str">
        <f>IFERROR(INDEX(Расходка[Наименование расходного материала],MATCH(Расходка[[#This Row],[№]],Поиск_расходки[Индекс1],0)),"")</f>
        <v/>
      </c>
      <c r="S76" s="196" t="str">
        <f>IFERROR(INDEX(Расходка[Наименование расходного материала],MATCH(Расходка[[#This Row],[№]],Поиск_расходки[Индекс2],0)),"")</f>
        <v/>
      </c>
      <c r="T76" s="196" t="str">
        <f>IFERROR(INDEX(Расходка[Наименование расходного материала],MATCH(Расходка[[#This Row],[№]],Поиск_расходки[Индекс3],0)),"")</f>
        <v/>
      </c>
      <c r="U76" s="196" t="str">
        <f>IFERROR(INDEX(Расходка[Наименование расходного материала],MATCH(Расходка[[#This Row],[№]],Поиск_расходки[Индекс4],0)),"")</f>
        <v/>
      </c>
      <c r="V76" s="196" t="str">
        <f>IFERROR(INDEX(Расходка[Наименование расходного материала],MATCH(Расходка[[#This Row],[№]],Поиск_расходки[Индекс5],0)),"")</f>
        <v/>
      </c>
      <c r="W76" s="196" t="str">
        <f>IFERROR(INDEX(Расходка[Наименование расходного материала],MATCH(Расходка[[#This Row],[№]],Поиск_расходки[Индекс6],0)),"")</f>
        <v/>
      </c>
      <c r="X76" s="196" t="str">
        <f>IFERROR(INDEX(Расходка[Наименование расходного материала],MATCH(Расходка[[#This Row],[№]],Поиск_расходки[Индекс7],0)),"")</f>
        <v/>
      </c>
      <c r="Y76" s="196" t="str">
        <f>IFERROR(INDEX(Расходка[Наименование расходного материала],MATCH(Расходка[[#This Row],[№]],Поиск_расходки[Индекс8],0)),"")</f>
        <v/>
      </c>
      <c r="Z76" s="196" t="str">
        <f>IFERROR(INDEX(Расходка[Наименование расходного материала],MATCH(Расходка[[#This Row],[№]],Поиск_расходки[Индекс9],0)),"")</f>
        <v>Launcher 6F JR 3.5</v>
      </c>
      <c r="AA76" s="196" t="str">
        <f>IFERROR(INDEX(Расходка[Наименование расходного материала],MATCH(Расходка[[#This Row],[№]],Поиск_расходки[Индекс10],0)),"")</f>
        <v>Launcher 6F JR 3.5</v>
      </c>
      <c r="AB76" s="196" t="str">
        <f>IFERROR(INDEX(Расходка[Наименование расходного материала],MATCH(Расходка[[#This Row],[№]],Поиск_расходки[Индекс11],0)),"")</f>
        <v>Launcher 6F JR 3.5</v>
      </c>
      <c r="AC76" s="196" t="str">
        <f>IFERROR(INDEX(Расходка[Наименование расходного материала],MATCH(Расходка[[#This Row],[№]],Поиск_расходки[Индекс12],0)),"")</f>
        <v>Launcher 6F JR 3.5</v>
      </c>
      <c r="AD76" s="196" t="str">
        <f>IFERROR(INDEX(Расходка[Наименование расходного материала],MATCH(Расходка[[#This Row],[№]],Поиск_расходки[Индекс13],0)),"")</f>
        <v>Launcher 6F JR 3.5</v>
      </c>
      <c r="AF76" s="4" t="s">
        <v>6</v>
      </c>
      <c r="AG76" s="4" t="s">
        <v>465</v>
      </c>
    </row>
    <row r="77" spans="1:33">
      <c r="A77">
        <f>ROW(Расходка[[#This Row],[Тип расходного материала ]])-1</f>
        <v>76</v>
      </c>
      <c r="B77" t="s">
        <v>4</v>
      </c>
      <c r="C77" t="s">
        <v>329</v>
      </c>
      <c r="E77" s="195">
        <f>IF(ISNUMBER(SEARCH('Карта учёта'!$B$13,Расходка[[#This Row],[Наименование расходного материала]])),MAX($E$1:E76)+1,0)</f>
        <v>0</v>
      </c>
      <c r="F77" s="195">
        <f>IF(ISNUMBER(SEARCH('Карта учёта'!$B$14,Расходка[[#This Row],[Наименование расходного материала]])),MAX($F$1:F76)+1,0)</f>
        <v>0</v>
      </c>
      <c r="G77" s="195">
        <f>IF(ISNUMBER(SEARCH('Карта учёта'!$B$15,Расходка[[#This Row],[Наименование расходного материала]])),MAX($G$1:G76)+1,0)</f>
        <v>0</v>
      </c>
      <c r="H77" s="195">
        <f>IF(ISNUMBER(SEARCH('Карта учёта'!$B$16,Расходка[[#This Row],[Наименование расходного материала]])),MAX($H$1:H76)+1,0)</f>
        <v>0</v>
      </c>
      <c r="I77" s="195">
        <f>IF(ISNUMBER(SEARCH('Карта учёта'!$B$17,Расходка[[#This Row],[Наименование расходного материала]])),MAX($I$1:I76)+1,0)</f>
        <v>0</v>
      </c>
      <c r="J77" s="195">
        <f>IF(ISNUMBER(SEARCH('Карта учёта'!$B$18,Расходка[[#This Row],[Наименование расходного материала]])),MAX($J$1:J76)+1,0)</f>
        <v>0</v>
      </c>
      <c r="K77" s="195">
        <f>IF(ISNUMBER(SEARCH('Карта учёта'!$B$19,Расходка[[#This Row],[Наименование расходного материала]])),MAX($K$1:K76)+1,0)</f>
        <v>0</v>
      </c>
      <c r="L77" s="195">
        <f>IF(ISNUMBER(SEARCH('Карта учёта'!$B$20,Расходка[[#This Row],[Наименование расходного материала]])),MAX($L$1:L76)+1,0)</f>
        <v>0</v>
      </c>
      <c r="M77" s="195">
        <f>IF(ISNUMBER(SEARCH('Карта учёта'!$B$21,Расходка[[#This Row],[Наименование расходного материала]])),MAX($M$1:M76)+1,0)</f>
        <v>76</v>
      </c>
      <c r="N77" s="195">
        <f>IF(ISNUMBER(SEARCH('Карта учёта'!$B$22,Расходка[[#This Row],[Наименование расходного материала]])),MAX($N$1:N76)+1,0)</f>
        <v>76</v>
      </c>
      <c r="O77" s="195">
        <f>IF(ISNUMBER(SEARCH('Карта учёта'!$B$23,Расходка[[#This Row],[Наименование расходного материала]])),MAX($O$1:O76)+1,0)</f>
        <v>76</v>
      </c>
      <c r="P77" s="195">
        <f>IF(ISNUMBER(SEARCH('Карта учёта'!$B$24,Расходка[[#This Row],[Наименование расходного материала]])),MAX($P$1:P76)+1,0)</f>
        <v>76</v>
      </c>
      <c r="Q77" s="195">
        <f>IF(ISNUMBER(SEARCH('Карта учёта'!$B$25,Расходка[[#This Row],[Наименование расходного материала]])),MAX($Q$1:Q76)+1,0)</f>
        <v>76</v>
      </c>
      <c r="R77" s="196" t="str">
        <f>IFERROR(INDEX(Расходка[Наименование расходного материала],MATCH(Расходка[[#This Row],[№]],Поиск_расходки[Индекс1],0)),"")</f>
        <v/>
      </c>
      <c r="S77" s="196" t="str">
        <f>IFERROR(INDEX(Расходка[Наименование расходного материала],MATCH(Расходка[[#This Row],[№]],Поиск_расходки[Индекс2],0)),"")</f>
        <v/>
      </c>
      <c r="T77" s="196" t="str">
        <f>IFERROR(INDEX(Расходка[Наименование расходного материала],MATCH(Расходка[[#This Row],[№]],Поиск_расходки[Индекс3],0)),"")</f>
        <v/>
      </c>
      <c r="U77" s="196" t="str">
        <f>IFERROR(INDEX(Расходка[Наименование расходного материала],MATCH(Расходка[[#This Row],[№]],Поиск_расходки[Индекс4],0)),"")</f>
        <v/>
      </c>
      <c r="V77" s="196" t="str">
        <f>IFERROR(INDEX(Расходка[Наименование расходного материала],MATCH(Расходка[[#This Row],[№]],Поиск_расходки[Индекс5],0)),"")</f>
        <v/>
      </c>
      <c r="W77" s="196" t="str">
        <f>IFERROR(INDEX(Расходка[Наименование расходного материала],MATCH(Расходка[[#This Row],[№]],Поиск_расходки[Индекс6],0)),"")</f>
        <v/>
      </c>
      <c r="X77" s="196" t="str">
        <f>IFERROR(INDEX(Расходка[Наименование расходного материала],MATCH(Расходка[[#This Row],[№]],Поиск_расходки[Индекс7],0)),"")</f>
        <v/>
      </c>
      <c r="Y77" s="196" t="str">
        <f>IFERROR(INDEX(Расходка[Наименование расходного материала],MATCH(Расходка[[#This Row],[№]],Поиск_расходки[Индекс8],0)),"")</f>
        <v/>
      </c>
      <c r="Z77" s="196" t="str">
        <f>IFERROR(INDEX(Расходка[Наименование расходного материала],MATCH(Расходка[[#This Row],[№]],Поиск_расходки[Индекс9],0)),"")</f>
        <v>Launcher 6F JR 4.0</v>
      </c>
      <c r="AA77" s="196" t="str">
        <f>IFERROR(INDEX(Расходка[Наименование расходного материала],MATCH(Расходка[[#This Row],[№]],Поиск_расходки[Индекс10],0)),"")</f>
        <v>Launcher 6F JR 4.0</v>
      </c>
      <c r="AB77" s="196" t="str">
        <f>IFERROR(INDEX(Расходка[Наименование расходного материала],MATCH(Расходка[[#This Row],[№]],Поиск_расходки[Индекс11],0)),"")</f>
        <v>Launcher 6F JR 4.0</v>
      </c>
      <c r="AC77" s="196" t="str">
        <f>IFERROR(INDEX(Расходка[Наименование расходного материала],MATCH(Расходка[[#This Row],[№]],Поиск_расходки[Индекс12],0)),"")</f>
        <v>Launcher 6F JR 4.0</v>
      </c>
      <c r="AD77" s="196" t="str">
        <f>IFERROR(INDEX(Расходка[Наименование расходного материала],MATCH(Расходка[[#This Row],[№]],Поиск_расходки[Индекс13],0)),"")</f>
        <v>Launcher 6F JR 4.0</v>
      </c>
      <c r="AF77" s="4" t="s">
        <v>6</v>
      </c>
      <c r="AG77" s="4" t="s">
        <v>466</v>
      </c>
    </row>
    <row r="78" spans="1:33">
      <c r="A78">
        <f>ROW(Расходка[[#This Row],[Тип расходного материала ]])-1</f>
        <v>77</v>
      </c>
      <c r="B78" t="s">
        <v>4</v>
      </c>
      <c r="C78" t="s">
        <v>339</v>
      </c>
      <c r="E78" s="195">
        <f>IF(ISNUMBER(SEARCH('Карта учёта'!$B$13,Расходка[[#This Row],[Наименование расходного материала]])),MAX($E$1:E77)+1,0)</f>
        <v>0</v>
      </c>
      <c r="F78" s="195">
        <f>IF(ISNUMBER(SEARCH('Карта учёта'!$B$14,Расходка[[#This Row],[Наименование расходного материала]])),MAX($F$1:F77)+1,0)</f>
        <v>0</v>
      </c>
      <c r="G78" s="195">
        <f>IF(ISNUMBER(SEARCH('Карта учёта'!$B$15,Расходка[[#This Row],[Наименование расходного материала]])),MAX($G$1:G77)+1,0)</f>
        <v>0</v>
      </c>
      <c r="H78" s="195">
        <f>IF(ISNUMBER(SEARCH('Карта учёта'!$B$16,Расходка[[#This Row],[Наименование расходного материала]])),MAX($H$1:H77)+1,0)</f>
        <v>0</v>
      </c>
      <c r="I78" s="195">
        <f>IF(ISNUMBER(SEARCH('Карта учёта'!$B$17,Расходка[[#This Row],[Наименование расходного материала]])),MAX($I$1:I77)+1,0)</f>
        <v>0</v>
      </c>
      <c r="J78" s="195">
        <f>IF(ISNUMBER(SEARCH('Карта учёта'!$B$18,Расходка[[#This Row],[Наименование расходного материала]])),MAX($J$1:J77)+1,0)</f>
        <v>0</v>
      </c>
      <c r="K78" s="195">
        <f>IF(ISNUMBER(SEARCH('Карта учёта'!$B$19,Расходка[[#This Row],[Наименование расходного материала]])),MAX($K$1:K77)+1,0)</f>
        <v>0</v>
      </c>
      <c r="L78" s="195">
        <f>IF(ISNUMBER(SEARCH('Карта учёта'!$B$20,Расходка[[#This Row],[Наименование расходного материала]])),MAX($L$1:L77)+1,0)</f>
        <v>0</v>
      </c>
      <c r="M78" s="195">
        <f>IF(ISNUMBER(SEARCH('Карта учёта'!$B$21,Расходка[[#This Row],[Наименование расходного материала]])),MAX($M$1:M77)+1,0)</f>
        <v>77</v>
      </c>
      <c r="N78" s="195">
        <f>IF(ISNUMBER(SEARCH('Карта учёта'!$B$22,Расходка[[#This Row],[Наименование расходного материала]])),MAX($N$1:N77)+1,0)</f>
        <v>77</v>
      </c>
      <c r="O78" s="195">
        <f>IF(ISNUMBER(SEARCH('Карта учёта'!$B$23,Расходка[[#This Row],[Наименование расходного материала]])),MAX($O$1:O77)+1,0)</f>
        <v>77</v>
      </c>
      <c r="P78" s="195">
        <f>IF(ISNUMBER(SEARCH('Карта учёта'!$B$24,Расходка[[#This Row],[Наименование расходного материала]])),MAX($P$1:P77)+1,0)</f>
        <v>77</v>
      </c>
      <c r="Q78" s="195">
        <f>IF(ISNUMBER(SEARCH('Карта учёта'!$B$25,Расходка[[#This Row],[Наименование расходного материала]])),MAX($Q$1:Q77)+1,0)</f>
        <v>77</v>
      </c>
      <c r="R78" s="196" t="str">
        <f>IFERROR(INDEX(Расходка[Наименование расходного материала],MATCH(Расходка[[#This Row],[№]],Поиск_расходки[Индекс1],0)),"")</f>
        <v/>
      </c>
      <c r="S78" s="196" t="str">
        <f>IFERROR(INDEX(Расходка[Наименование расходного материала],MATCH(Расходка[[#This Row],[№]],Поиск_расходки[Индекс2],0)),"")</f>
        <v/>
      </c>
      <c r="T78" s="196" t="str">
        <f>IFERROR(INDEX(Расходка[Наименование расходного материала],MATCH(Расходка[[#This Row],[№]],Поиск_расходки[Индекс3],0)),"")</f>
        <v/>
      </c>
      <c r="U78" s="196" t="str">
        <f>IFERROR(INDEX(Расходка[Наименование расходного материала],MATCH(Расходка[[#This Row],[№]],Поиск_расходки[Индекс4],0)),"")</f>
        <v/>
      </c>
      <c r="V78" s="196" t="str">
        <f>IFERROR(INDEX(Расходка[Наименование расходного материала],MATCH(Расходка[[#This Row],[№]],Поиск_расходки[Индекс5],0)),"")</f>
        <v/>
      </c>
      <c r="W78" s="196" t="str">
        <f>IFERROR(INDEX(Расходка[Наименование расходного материала],MATCH(Расходка[[#This Row],[№]],Поиск_расходки[Индекс6],0)),"")</f>
        <v/>
      </c>
      <c r="X78" s="196" t="str">
        <f>IFERROR(INDEX(Расходка[Наименование расходного материала],MATCH(Расходка[[#This Row],[№]],Поиск_расходки[Индекс7],0)),"")</f>
        <v/>
      </c>
      <c r="Y78" s="196" t="str">
        <f>IFERROR(INDEX(Расходка[Наименование расходного материала],MATCH(Расходка[[#This Row],[№]],Поиск_расходки[Индекс8],0)),"")</f>
        <v/>
      </c>
      <c r="Z78" s="196" t="str">
        <f>IFERROR(INDEX(Расходка[Наименование расходного материала],MATCH(Расходка[[#This Row],[№]],Поиск_расходки[Индекс9],0)),"")</f>
        <v>Launcher 7F JL 3.5</v>
      </c>
      <c r="AA78" s="196" t="str">
        <f>IFERROR(INDEX(Расходка[Наименование расходного материала],MATCH(Расходка[[#This Row],[№]],Поиск_расходки[Индекс10],0)),"")</f>
        <v>Launcher 7F JL 3.5</v>
      </c>
      <c r="AB78" s="196" t="str">
        <f>IFERROR(INDEX(Расходка[Наименование расходного материала],MATCH(Расходка[[#This Row],[№]],Поиск_расходки[Индекс11],0)),"")</f>
        <v>Launcher 7F JL 3.5</v>
      </c>
      <c r="AC78" s="196" t="str">
        <f>IFERROR(INDEX(Расходка[Наименование расходного материала],MATCH(Расходка[[#This Row],[№]],Поиск_расходки[Индекс12],0)),"")</f>
        <v>Launcher 7F JL 3.5</v>
      </c>
      <c r="AD78" s="196" t="str">
        <f>IFERROR(INDEX(Расходка[Наименование расходного материала],MATCH(Расходка[[#This Row],[№]],Поиск_расходки[Индекс13],0)),"")</f>
        <v>Launcher 7F JL 3.5</v>
      </c>
      <c r="AF78" s="4" t="s">
        <v>6</v>
      </c>
      <c r="AG78" s="4" t="s">
        <v>467</v>
      </c>
    </row>
    <row r="79" spans="1:33">
      <c r="A79">
        <f>ROW(Расходка[[#This Row],[Тип расходного материала ]])-1</f>
        <v>78</v>
      </c>
      <c r="B79" t="s">
        <v>4</v>
      </c>
      <c r="C79" t="s">
        <v>338</v>
      </c>
      <c r="AF79" s="4" t="s">
        <v>6</v>
      </c>
      <c r="AG79" s="4" t="s">
        <v>468</v>
      </c>
    </row>
    <row r="80" spans="1:33">
      <c r="A80">
        <f>ROW(Расходка[[#This Row],[Тип расходного материала ]])-1</f>
        <v>79</v>
      </c>
      <c r="B80" t="s">
        <v>301</v>
      </c>
      <c r="C80" s="1" t="s">
        <v>330</v>
      </c>
      <c r="AF80" s="4" t="s">
        <v>6</v>
      </c>
      <c r="AG80" s="4" t="s">
        <v>469</v>
      </c>
    </row>
    <row r="81" spans="32:33">
      <c r="AF81" s="4" t="s">
        <v>6</v>
      </c>
      <c r="AG81" s="4" t="s">
        <v>470</v>
      </c>
    </row>
    <row r="82" spans="32:33">
      <c r="AF82" s="4" t="s">
        <v>6</v>
      </c>
      <c r="AG82" s="4" t="s">
        <v>471</v>
      </c>
    </row>
    <row r="83" spans="32:33">
      <c r="AF83" s="4" t="s">
        <v>6</v>
      </c>
      <c r="AG83" s="4" t="s">
        <v>472</v>
      </c>
    </row>
    <row r="84" spans="32:33">
      <c r="AF84" s="4" t="s">
        <v>6</v>
      </c>
      <c r="AG84" s="4" t="s">
        <v>423</v>
      </c>
    </row>
    <row r="85" spans="32:33">
      <c r="AF85" s="4" t="s">
        <v>6</v>
      </c>
      <c r="AG85" s="4" t="s">
        <v>424</v>
      </c>
    </row>
    <row r="86" spans="32:33">
      <c r="AF86" s="4" t="s">
        <v>6</v>
      </c>
      <c r="AG86" s="4" t="s">
        <v>473</v>
      </c>
    </row>
    <row r="87" spans="32:33">
      <c r="AF87" s="4" t="s">
        <v>6</v>
      </c>
      <c r="AG87" s="4" t="s">
        <v>474</v>
      </c>
    </row>
    <row r="88" spans="32:33">
      <c r="AF88" s="4" t="s">
        <v>6</v>
      </c>
      <c r="AG88" s="4" t="s">
        <v>475</v>
      </c>
    </row>
    <row r="89" spans="32:33">
      <c r="AF89" s="4" t="s">
        <v>6</v>
      </c>
      <c r="AG89" s="4" t="s">
        <v>476</v>
      </c>
    </row>
    <row r="90" spans="32:33">
      <c r="AF90" s="4" t="s">
        <v>6</v>
      </c>
      <c r="AG90" s="4" t="s">
        <v>477</v>
      </c>
    </row>
    <row r="91" spans="32:33">
      <c r="AF91" s="4" t="s">
        <v>6</v>
      </c>
      <c r="AG91" s="4" t="s">
        <v>478</v>
      </c>
    </row>
    <row r="92" spans="32:33">
      <c r="AF92" s="4" t="s">
        <v>6</v>
      </c>
      <c r="AG92" s="4" t="s">
        <v>479</v>
      </c>
    </row>
    <row r="93" spans="32:33">
      <c r="AF93" s="4" t="s">
        <v>6</v>
      </c>
      <c r="AG93" s="4" t="s">
        <v>480</v>
      </c>
    </row>
    <row r="94" spans="32:33">
      <c r="AF94" s="4" t="s">
        <v>6</v>
      </c>
      <c r="AG94" s="4" t="s">
        <v>427</v>
      </c>
    </row>
    <row r="95" spans="32:33">
      <c r="AF95" s="4" t="s">
        <v>6</v>
      </c>
      <c r="AG95" s="4" t="s">
        <v>428</v>
      </c>
    </row>
    <row r="96" spans="32:33">
      <c r="AF96" s="4" t="s">
        <v>6</v>
      </c>
      <c r="AG96" s="4" t="s">
        <v>481</v>
      </c>
    </row>
    <row r="97" spans="32:33">
      <c r="AF97" s="4" t="s">
        <v>6</v>
      </c>
      <c r="AG97" s="4" t="s">
        <v>482</v>
      </c>
    </row>
  </sheetData>
  <sheetProtection sheet="1" objects="1" scenarios="1" formatCells="0" formatColumns="0"/>
  <phoneticPr fontId="15" type="noConversion"/>
  <dataValidations count="1">
    <dataValidation type="list" allowBlank="1" showInputMessage="1" showErrorMessage="1" sqref="B2:B8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200"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200"/>
    </row>
    <row r="20" spans="1:3">
      <c r="C20" s="200"/>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523</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524</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5"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89"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Экстренный Ангиограф</cp:lastModifiedBy>
  <cp:lastPrinted>2025-03-18T23:07:03Z</cp:lastPrinted>
  <dcterms:created xsi:type="dcterms:W3CDTF">2015-06-05T18:19:34Z</dcterms:created>
  <dcterms:modified xsi:type="dcterms:W3CDTF">2025-03-18T23:10:54Z</dcterms:modified>
</cp:coreProperties>
</file>