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externalReferences>
    <externalReference r:id="rId9"/>
  </externalReference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 l="1"/>
  <c r="B13" i="9" l="1"/>
  <c r="A6" i="1" l="1"/>
  <c r="A4" i="1"/>
  <c r="A59" i="1" l="1"/>
  <c r="A56" i="1" l="1"/>
  <c r="A55" i="1"/>
  <c r="A3" i="1"/>
  <c r="A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8" i="1"/>
  <c r="A60" i="1"/>
  <c r="A61" i="1"/>
  <c r="A62" i="1"/>
  <c r="A63" i="1"/>
  <c r="A64" i="1"/>
  <c r="A65" i="1"/>
  <c r="A66" i="1"/>
  <c r="A67" i="1"/>
  <c r="A68" i="1"/>
  <c r="A69" i="1"/>
  <c r="A70" i="1"/>
  <c r="A71" i="1"/>
  <c r="A72" i="1"/>
  <c r="A73" i="1"/>
  <c r="A74" i="1"/>
  <c r="A75" i="1"/>
  <c r="A76" i="1"/>
  <c r="A77" i="1"/>
  <c r="A78" i="1"/>
  <c r="A79" i="1"/>
  <c r="A80" i="1"/>
  <c r="A2" i="1"/>
  <c r="A1" i="11" l="1"/>
  <c r="A3" i="11"/>
  <c r="A18" i="3" l="1"/>
  <c r="C15" i="5" l="1"/>
  <c r="B15" i="9" l="1"/>
  <c r="E71" i="1" l="1"/>
  <c r="E72" i="1"/>
  <c r="E73" i="1"/>
  <c r="E74" i="1"/>
  <c r="E75" i="1"/>
  <c r="E76" i="1"/>
  <c r="E77" i="1"/>
  <c r="E78" i="1"/>
  <c r="F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G22" i="9" l="1"/>
  <c r="A10" i="9"/>
  <c r="A9" i="3" s="1"/>
  <c r="A9" i="9"/>
  <c r="A8" i="3" s="1"/>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7" i="1" l="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O65" i="1" l="1"/>
  <c r="P22" i="1"/>
  <c r="Q70" i="1"/>
  <c r="J50" i="1"/>
  <c r="J51" i="1" s="1"/>
  <c r="H47" i="1"/>
  <c r="H48" i="1" s="1"/>
  <c r="I47" i="1"/>
  <c r="I48" i="1" s="1"/>
  <c r="I49" i="1" s="1"/>
  <c r="I50" i="1" s="1"/>
  <c r="K43" i="1"/>
  <c r="N27" i="1"/>
  <c r="M28" i="1"/>
  <c r="M29" i="1" s="1"/>
  <c r="L30" i="1"/>
  <c r="G29" i="1"/>
  <c r="F28" i="1"/>
  <c r="Q71" i="1" l="1"/>
  <c r="Q72" i="1" s="1"/>
  <c r="Q73" i="1" s="1"/>
  <c r="AD68" i="1"/>
  <c r="AD69" i="1"/>
  <c r="O66" i="1"/>
  <c r="O67" i="1" s="1"/>
  <c r="O68" i="1" s="1"/>
  <c r="P23" i="1"/>
  <c r="AD58"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 i="1" l="1"/>
  <c r="Q75" i="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8" i="1" s="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O78" i="1" l="1"/>
  <c r="AB67" i="1" s="1"/>
  <c r="AD77" i="1"/>
  <c r="P29" i="1"/>
  <c r="J70" i="1"/>
  <c r="I70" i="1"/>
  <c r="H68" i="1"/>
  <c r="H69" i="1" s="1"/>
  <c r="H70" i="1" s="1"/>
  <c r="H71" i="1" s="1"/>
  <c r="H72" i="1" s="1"/>
  <c r="F63" i="1"/>
  <c r="F64" i="1" s="1"/>
  <c r="F65" i="1" s="1"/>
  <c r="F66" i="1" s="1"/>
  <c r="F67" i="1" s="1"/>
  <c r="F68" i="1" s="1"/>
  <c r="F69" i="1" s="1"/>
  <c r="K51" i="1"/>
  <c r="G50" i="1"/>
  <c r="AD38" i="1"/>
  <c r="N44" i="1"/>
  <c r="L38" i="1"/>
  <c r="L39" i="1" s="1"/>
  <c r="M37" i="1"/>
  <c r="AB43" i="1" l="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W2" i="1" s="1"/>
  <c r="I71" i="1"/>
  <c r="F70" i="1"/>
  <c r="F71" i="1" s="1"/>
  <c r="F72" i="1" s="1"/>
  <c r="F73" i="1" s="1"/>
  <c r="K52" i="1"/>
  <c r="K53" i="1" s="1"/>
  <c r="G51" i="1"/>
  <c r="AD39" i="1"/>
  <c r="AB46" i="1"/>
  <c r="N45" i="1"/>
  <c r="L40" i="1"/>
  <c r="M38" i="1"/>
  <c r="M39" i="1" s="1"/>
  <c r="M40" i="1" s="1"/>
  <c r="H74" i="1" l="1"/>
  <c r="F74" i="1"/>
  <c r="F75" i="1" s="1"/>
  <c r="F76" i="1" s="1"/>
  <c r="F77"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S77" i="1" l="1"/>
  <c r="S78" i="1"/>
  <c r="S2" i="1"/>
  <c r="S66"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U2" i="1" l="1"/>
  <c r="H76" i="1"/>
  <c r="H77" i="1" s="1"/>
  <c r="J74" i="1"/>
  <c r="I74" i="1"/>
  <c r="P33" i="1"/>
  <c r="K68" i="1"/>
  <c r="G54" i="1"/>
  <c r="R2" i="1"/>
  <c r="N51" i="1"/>
  <c r="N52" i="1" s="1"/>
  <c r="N53" i="1" s="1"/>
  <c r="N54" i="1" s="1"/>
  <c r="N55" i="1" s="1"/>
  <c r="AB45" i="1"/>
  <c r="M43" i="1"/>
  <c r="L43" i="1"/>
  <c r="H78" i="1" l="1"/>
  <c r="U53" i="1" s="1"/>
  <c r="U64" i="1"/>
  <c r="U46" i="1"/>
  <c r="U66" i="1"/>
  <c r="U51" i="1"/>
  <c r="U57" i="1"/>
  <c r="U70" i="1"/>
  <c r="U47" i="1"/>
  <c r="U52" i="1"/>
  <c r="U56" i="1"/>
  <c r="U45" i="1"/>
  <c r="U44" i="1"/>
  <c r="U61" i="1"/>
  <c r="U41" i="1"/>
  <c r="U59" i="1"/>
  <c r="U69" i="1"/>
  <c r="U54" i="1"/>
  <c r="U58" i="1"/>
  <c r="U72" i="1"/>
  <c r="U55" i="1"/>
  <c r="U40" i="1"/>
  <c r="U73" i="1"/>
  <c r="U42" i="1"/>
  <c r="U60" i="1"/>
  <c r="U68" i="1"/>
  <c r="U39" i="1"/>
  <c r="U75" i="1"/>
  <c r="U63" i="1"/>
  <c r="U74" i="1"/>
  <c r="U49" i="1"/>
  <c r="U67" i="1"/>
  <c r="U43" i="1"/>
  <c r="U71" i="1"/>
  <c r="U62" i="1"/>
  <c r="U48" i="1"/>
  <c r="U50" i="1"/>
  <c r="U65" i="1"/>
  <c r="U78" i="1"/>
  <c r="U76" i="1"/>
  <c r="U77" i="1"/>
  <c r="J75" i="1"/>
  <c r="I75" i="1"/>
  <c r="P34" i="1"/>
  <c r="K69" i="1"/>
  <c r="N56" i="1"/>
  <c r="N57" i="1" s="1"/>
  <c r="N58" i="1" s="1"/>
  <c r="G55"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I76" i="1" l="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I77" i="1" l="1"/>
  <c r="J77" i="1"/>
  <c r="J78" i="1" s="1"/>
  <c r="P36" i="1"/>
  <c r="K72" i="1"/>
  <c r="N60" i="1"/>
  <c r="G57" i="1"/>
  <c r="G58" i="1" s="1"/>
  <c r="G59" i="1" s="1"/>
  <c r="G60" i="1" s="1"/>
  <c r="AD20" i="1"/>
  <c r="AB3" i="1"/>
  <c r="R3" i="1"/>
  <c r="AD14" i="1"/>
  <c r="AD54" i="1"/>
  <c r="AD53" i="1"/>
  <c r="M49" i="1"/>
  <c r="L48" i="1"/>
  <c r="I78" i="1" l="1"/>
  <c r="V50" i="1" s="1"/>
  <c r="W54" i="1"/>
  <c r="W78" i="1"/>
  <c r="W77" i="1"/>
  <c r="W51" i="1"/>
  <c r="W74" i="1"/>
  <c r="W64" i="1"/>
  <c r="W58" i="1"/>
  <c r="W57" i="1"/>
  <c r="W56" i="1"/>
  <c r="W65" i="1"/>
  <c r="W45" i="1"/>
  <c r="W60" i="1"/>
  <c r="W39" i="1"/>
  <c r="W62" i="1"/>
  <c r="W46" i="1"/>
  <c r="W67" i="1"/>
  <c r="W59" i="1"/>
  <c r="W52" i="1"/>
  <c r="W3" i="1"/>
  <c r="W76" i="1"/>
  <c r="W70" i="1"/>
  <c r="W72" i="1"/>
  <c r="W73" i="1"/>
  <c r="W68" i="1"/>
  <c r="W55" i="1"/>
  <c r="W44" i="1"/>
  <c r="W61" i="1"/>
  <c r="W40" i="1"/>
  <c r="W53" i="1"/>
  <c r="W47" i="1"/>
  <c r="W41" i="1"/>
  <c r="W43" i="1"/>
  <c r="W63" i="1"/>
  <c r="W49" i="1"/>
  <c r="W66" i="1"/>
  <c r="V74" i="1"/>
  <c r="V70" i="1"/>
  <c r="V42" i="1"/>
  <c r="V39" i="1"/>
  <c r="V73" i="1"/>
  <c r="V68" i="1"/>
  <c r="V52" i="1"/>
  <c r="V63" i="1"/>
  <c r="V49" i="1"/>
  <c r="V45" i="1"/>
  <c r="V59" i="1"/>
  <c r="V75" i="1"/>
  <c r="V41" i="1"/>
  <c r="V51" i="1"/>
  <c r="V67" i="1"/>
  <c r="V46" i="1"/>
  <c r="V54" i="1"/>
  <c r="V72" i="1"/>
  <c r="V48" i="1"/>
  <c r="V53" i="1"/>
  <c r="V56" i="1"/>
  <c r="V40" i="1"/>
  <c r="V61" i="1"/>
  <c r="V64" i="1"/>
  <c r="V66" i="1"/>
  <c r="V43" i="1"/>
  <c r="V44" i="1"/>
  <c r="V69" i="1"/>
  <c r="V60" i="1"/>
  <c r="V57" i="1"/>
  <c r="V71" i="1"/>
  <c r="V7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V47" i="1" l="1"/>
  <c r="V62" i="1"/>
  <c r="V65" i="1"/>
  <c r="V55" i="1"/>
  <c r="V58" i="1"/>
  <c r="V77" i="1"/>
  <c r="V78" i="1"/>
  <c r="V7" i="1"/>
  <c r="V13" i="1"/>
  <c r="V5" i="1"/>
  <c r="V17" i="1"/>
  <c r="V23" i="1"/>
  <c r="V32" i="1"/>
  <c r="V21" i="1"/>
  <c r="V24" i="1"/>
  <c r="V30" i="1"/>
  <c r="V3" i="1"/>
  <c r="V6" i="1"/>
  <c r="V25" i="1"/>
  <c r="V35" i="1"/>
  <c r="V18" i="1"/>
  <c r="V4" i="1"/>
  <c r="V12" i="1"/>
  <c r="V36" i="1"/>
  <c r="V31" i="1"/>
  <c r="V28" i="1"/>
  <c r="V9" i="1"/>
  <c r="V10" i="1"/>
  <c r="V14" i="1"/>
  <c r="V20" i="1"/>
  <c r="V27" i="1"/>
  <c r="V37" i="1"/>
  <c r="V22" i="1"/>
  <c r="V16" i="1"/>
  <c r="V33" i="1"/>
  <c r="V8" i="1"/>
  <c r="V34" i="1"/>
  <c r="V15" i="1"/>
  <c r="V29" i="1"/>
  <c r="V11" i="1"/>
  <c r="V19" i="1"/>
  <c r="V26" i="1"/>
  <c r="V38" i="1"/>
  <c r="N67" i="1"/>
  <c r="N68" i="1" s="1"/>
  <c r="K74" i="1"/>
  <c r="P38" i="1"/>
  <c r="G62" i="1"/>
  <c r="G63" i="1" s="1"/>
  <c r="M51" i="1"/>
  <c r="M52" i="1" s="1"/>
  <c r="M53" i="1" s="1"/>
  <c r="L50" i="1"/>
  <c r="K75" i="1" l="1"/>
  <c r="P39" i="1"/>
  <c r="N69" i="1"/>
  <c r="G64" i="1"/>
  <c r="M54" i="1"/>
  <c r="M55" i="1" s="1"/>
  <c r="L51" i="1"/>
  <c r="L52" i="1" s="1"/>
  <c r="L53" i="1" s="1"/>
  <c r="K76" i="1" l="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P42" i="1" l="1"/>
  <c r="X56" i="1"/>
  <c r="X78" i="1"/>
  <c r="G73" i="1"/>
  <c r="X26" i="1"/>
  <c r="X6" i="1"/>
  <c r="X42" i="1"/>
  <c r="X48" i="1"/>
  <c r="X45" i="1"/>
  <c r="X29" i="1"/>
  <c r="X67" i="1"/>
  <c r="X59" i="1"/>
  <c r="X34" i="1"/>
  <c r="X72" i="1"/>
  <c r="X10" i="1"/>
  <c r="X74" i="1"/>
  <c r="X53" i="1"/>
  <c r="X65" i="1"/>
  <c r="X73" i="1"/>
  <c r="X71" i="1"/>
  <c r="X50" i="1"/>
  <c r="X4" i="1"/>
  <c r="X41" i="1"/>
  <c r="X77" i="1"/>
  <c r="X16" i="1"/>
  <c r="X23" i="1"/>
  <c r="X37" i="1"/>
  <c r="X54" i="1"/>
  <c r="X44" i="1"/>
  <c r="X66" i="1"/>
  <c r="X24" i="1"/>
  <c r="X13" i="1"/>
  <c r="X39" i="1"/>
  <c r="X9" i="1"/>
  <c r="X43" i="1"/>
  <c r="X2" i="1"/>
  <c r="X11" i="1"/>
  <c r="X47" i="1"/>
  <c r="X38" i="1"/>
  <c r="X32" i="1"/>
  <c r="X3" i="1"/>
  <c r="X76" i="1"/>
  <c r="X20" i="1"/>
  <c r="X40" i="1"/>
  <c r="X12" i="1"/>
  <c r="X8" i="1"/>
  <c r="X17" i="1"/>
  <c r="X14" i="1"/>
  <c r="X15" i="1"/>
  <c r="X68" i="1"/>
  <c r="X61" i="1"/>
  <c r="X21" i="1"/>
  <c r="X30" i="1"/>
  <c r="X28" i="1"/>
  <c r="X62" i="1"/>
  <c r="X64" i="1"/>
  <c r="X63" i="1"/>
  <c r="X18" i="1"/>
  <c r="X35" i="1"/>
  <c r="X57" i="1"/>
  <c r="X46" i="1"/>
  <c r="X51" i="1"/>
  <c r="X22" i="1"/>
  <c r="X70" i="1"/>
  <c r="X36" i="1"/>
  <c r="X49" i="1"/>
  <c r="X60" i="1"/>
  <c r="X5" i="1"/>
  <c r="X25" i="1"/>
  <c r="X75" i="1"/>
  <c r="X69" i="1"/>
  <c r="X19" i="1"/>
  <c r="X33" i="1"/>
  <c r="X7" i="1"/>
  <c r="X27" i="1"/>
  <c r="X55" i="1"/>
  <c r="X58" i="1"/>
  <c r="X52" i="1"/>
  <c r="X31" i="1"/>
  <c r="G74" i="1"/>
  <c r="G75" i="1" s="1"/>
  <c r="N72" i="1"/>
  <c r="N73" i="1" s="1"/>
  <c r="L67" i="1"/>
  <c r="M61" i="1"/>
  <c r="P43" i="1" l="1"/>
  <c r="G76" i="1"/>
  <c r="G77" i="1" s="1"/>
  <c r="N74" i="1"/>
  <c r="L68" i="1"/>
  <c r="M62" i="1"/>
  <c r="G78" i="1" l="1"/>
  <c r="T3" i="1" s="1"/>
  <c r="T65" i="1"/>
  <c r="T2" i="1"/>
  <c r="T49" i="1"/>
  <c r="T47" i="1"/>
  <c r="T66" i="1"/>
  <c r="P44" i="1"/>
  <c r="T4" i="1"/>
  <c r="T6" i="1"/>
  <c r="N75" i="1"/>
  <c r="L69" i="1"/>
  <c r="M63" i="1"/>
  <c r="M64" i="1" s="1"/>
  <c r="M65" i="1" s="1"/>
  <c r="M66" i="1" s="1"/>
  <c r="T77" i="1" l="1"/>
  <c r="T74" i="1"/>
  <c r="T73" i="1"/>
  <c r="T71" i="1"/>
  <c r="T33" i="1"/>
  <c r="T39" i="1"/>
  <c r="T10" i="1"/>
  <c r="T35" i="1"/>
  <c r="T59" i="1"/>
  <c r="T22" i="1"/>
  <c r="T55" i="1"/>
  <c r="T16" i="1"/>
  <c r="T32" i="1"/>
  <c r="T42" i="1"/>
  <c r="T62" i="1"/>
  <c r="T30" i="1"/>
  <c r="T45" i="1"/>
  <c r="T68" i="1"/>
  <c r="T20" i="1"/>
  <c r="T28" i="1"/>
  <c r="T31" i="1"/>
  <c r="T25" i="1"/>
  <c r="T21" i="1"/>
  <c r="T9" i="1"/>
  <c r="T60" i="1"/>
  <c r="T37" i="1"/>
  <c r="T52" i="1"/>
  <c r="T12" i="1"/>
  <c r="T54" i="1"/>
  <c r="T38" i="1"/>
  <c r="T67" i="1"/>
  <c r="T51" i="1"/>
  <c r="T8" i="1"/>
  <c r="T7" i="1"/>
  <c r="T23" i="1"/>
  <c r="T27" i="1"/>
  <c r="T14" i="1"/>
  <c r="T56" i="1"/>
  <c r="T63" i="1"/>
  <c r="T18" i="1"/>
  <c r="T57" i="1"/>
  <c r="T72" i="1"/>
  <c r="T11" i="1"/>
  <c r="T70" i="1"/>
  <c r="T61" i="1"/>
  <c r="T69" i="1"/>
  <c r="T41" i="1"/>
  <c r="T36" i="1"/>
  <c r="T13" i="1"/>
  <c r="T53" i="1"/>
  <c r="T29" i="1"/>
  <c r="T26" i="1"/>
  <c r="T19" i="1"/>
  <c r="T78" i="1"/>
  <c r="T34" i="1"/>
  <c r="T64" i="1"/>
  <c r="T50" i="1"/>
  <c r="T44" i="1"/>
  <c r="T46" i="1"/>
  <c r="T15" i="1"/>
  <c r="T76" i="1"/>
  <c r="T5" i="1"/>
  <c r="T75" i="1"/>
  <c r="T40" i="1"/>
  <c r="T58" i="1"/>
  <c r="T17" i="1"/>
  <c r="T48" i="1"/>
  <c r="T24" i="1"/>
  <c r="T43" i="1"/>
  <c r="P45" i="1"/>
  <c r="N76" i="1"/>
  <c r="L70" i="1"/>
  <c r="M67" i="1"/>
  <c r="P46" i="1" l="1"/>
  <c r="N77" i="1"/>
  <c r="L71" i="1"/>
  <c r="L72" i="1" s="1"/>
  <c r="L73" i="1" s="1"/>
  <c r="M68" i="1"/>
  <c r="P47" i="1" l="1"/>
  <c r="N78" i="1"/>
  <c r="AA59" i="1" s="1"/>
  <c r="L74" i="1"/>
  <c r="L75" i="1" s="1"/>
  <c r="M69" i="1"/>
  <c r="P48" i="1" l="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P49" i="1" l="1"/>
  <c r="L77" i="1"/>
  <c r="M71" i="1"/>
  <c r="P50" i="1" l="1"/>
  <c r="L78" i="1"/>
  <c r="Y39" i="1" s="1"/>
  <c r="Y27" i="1"/>
  <c r="Y43" i="1"/>
  <c r="Y14" i="1"/>
  <c r="Y53" i="1"/>
  <c r="Y59" i="1"/>
  <c r="Y12" i="1"/>
  <c r="Y40" i="1"/>
  <c r="Y26" i="1"/>
  <c r="Y52" i="1"/>
  <c r="Y54" i="1"/>
  <c r="Y49" i="1"/>
  <c r="Y22" i="1"/>
  <c r="Y68" i="1"/>
  <c r="Y58" i="1"/>
  <c r="Y62" i="1"/>
  <c r="Y18" i="1"/>
  <c r="Y55" i="1"/>
  <c r="Y5" i="1"/>
  <c r="Y46" i="1"/>
  <c r="Y6" i="1"/>
  <c r="Y47" i="1"/>
  <c r="Y65" i="1"/>
  <c r="Y17" i="1"/>
  <c r="Y42" i="1"/>
  <c r="Y15" i="1"/>
  <c r="Y50" i="1"/>
  <c r="Y9" i="1"/>
  <c r="Y13" i="1"/>
  <c r="Y71" i="1"/>
  <c r="Y31" i="1"/>
  <c r="Y51" i="1"/>
  <c r="Y69" i="1"/>
  <c r="Y20" i="1"/>
  <c r="Y16" i="1"/>
  <c r="Y48" i="1"/>
  <c r="Y19" i="1"/>
  <c r="Y36" i="1"/>
  <c r="Y37" i="1"/>
  <c r="Y10" i="1"/>
  <c r="Y61" i="1"/>
  <c r="Y60" i="1"/>
  <c r="Y44" i="1"/>
  <c r="Y8" i="1"/>
  <c r="Y21" i="1"/>
  <c r="Y35" i="1"/>
  <c r="Y28" i="1"/>
  <c r="Y34" i="1"/>
  <c r="Y72" i="1"/>
  <c r="Y67" i="1"/>
  <c r="Y57" i="1"/>
  <c r="Y25" i="1"/>
  <c r="Y7" i="1"/>
  <c r="Y11" i="1"/>
  <c r="Y29" i="1"/>
  <c r="Y41" i="1"/>
  <c r="Y32" i="1"/>
  <c r="Y56" i="1"/>
  <c r="Y23" i="1"/>
  <c r="Y45" i="1"/>
  <c r="Y24" i="1"/>
  <c r="Y4" i="1"/>
  <c r="Y73" i="1"/>
  <c r="Y66" i="1"/>
  <c r="Y33" i="1"/>
  <c r="Y30" i="1"/>
  <c r="Y70" i="1"/>
  <c r="Y74" i="1"/>
  <c r="Y75" i="1"/>
  <c r="Y76" i="1"/>
  <c r="M72" i="1"/>
  <c r="Y78" i="1" l="1"/>
  <c r="Y2" i="1"/>
  <c r="P51" i="1"/>
  <c r="Y64" i="1"/>
  <c r="Y38" i="1"/>
  <c r="Y3" i="1"/>
  <c r="Y63" i="1"/>
  <c r="Y77" i="1"/>
  <c r="M73" i="1"/>
  <c r="P52" i="1" l="1"/>
  <c r="M74" i="1"/>
  <c r="M75" i="1" s="1"/>
  <c r="P53" i="1" l="1"/>
  <c r="M76" i="1"/>
  <c r="P54" i="1" l="1"/>
  <c r="M77" i="1"/>
  <c r="M78" i="1" s="1"/>
  <c r="Z78" i="1" s="1"/>
  <c r="P55" i="1" l="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AC36" i="1" l="1"/>
  <c r="P69" i="1"/>
  <c r="P70" i="1" s="1"/>
  <c r="P71" i="1" s="1"/>
  <c r="P72" i="1" s="1"/>
  <c r="P73" i="1" s="1"/>
  <c r="P74" i="1" s="1"/>
  <c r="P75" i="1" s="1"/>
  <c r="P76" i="1" s="1"/>
  <c r="P77" i="1" s="1"/>
  <c r="P78" i="1" s="1"/>
  <c r="AC31" i="1"/>
  <c r="AC32" i="1"/>
  <c r="AC4" i="1"/>
  <c r="AC8" i="1"/>
  <c r="AC3" i="1"/>
  <c r="AC18" i="1"/>
  <c r="AC17" i="1"/>
  <c r="AC27" i="1"/>
  <c r="AC45" i="1"/>
  <c r="AC54" i="1"/>
  <c r="AC63" i="1"/>
  <c r="AC48" i="1"/>
  <c r="AC68" i="1"/>
  <c r="AC53" i="1"/>
  <c r="AC57" i="1"/>
  <c r="AC64" i="1"/>
  <c r="AC49" i="1"/>
  <c r="AC52" i="1"/>
  <c r="AC59" i="1"/>
  <c r="AC46" i="1"/>
  <c r="AC44" i="1"/>
  <c r="AC6" i="1"/>
  <c r="AC37" i="1"/>
  <c r="AC66" i="1"/>
  <c r="AC71" i="1"/>
  <c r="AC9"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41" i="1"/>
  <c r="AC12" i="1"/>
  <c r="AC70" i="1"/>
  <c r="AC11" i="1"/>
  <c r="AC14" i="1"/>
  <c r="AC26" i="1"/>
  <c r="AC47" i="1"/>
  <c r="AC60" i="1"/>
  <c r="AC19" i="1"/>
  <c r="AC43" i="1"/>
  <c r="AC67" i="1"/>
  <c r="AC21" i="1"/>
  <c r="AC22" i="1"/>
  <c r="AC33" i="1"/>
  <c r="AC62" i="1"/>
  <c r="AC23" i="1"/>
  <c r="AC77" i="1" l="1"/>
  <c r="AC78" i="1"/>
  <c r="AC72" i="1"/>
  <c r="AC76" i="1"/>
  <c r="AC73" i="1"/>
  <c r="AC75"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<sst xmlns="http://schemas.openxmlformats.org/spreadsheetml/2006/main" count="897" uniqueCount="546">
  <si>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</si>
  <si>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</si>
  <si>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</si>
  <si>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</si>
  <si>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</si>
  <si>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</si>
  <si>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</si>
  <si>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</si>
  <si>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</si>
  <si>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</si>
  <si>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</si>
  <si>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</si>
  <si>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</si>
  <si>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</si>
  <si>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</si>
  <si>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</si>
  <si>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</si>
  <si>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</si>
  <si>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</si>
  <si>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</si>
  <si>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</si>
  <si>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</si>
  <si>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</si>
  <si>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</si>
  <si>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</si>
  <si>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</si>
  <si>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</si>
  <si>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</si>
  <si>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</si>
  <si>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</si>
  <si>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</si>
  <si>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</si>
  <si>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</si>
  <si>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</si>
  <si>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</si>
  <si>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</si>
  <si>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</si>
  <si>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</si>
  <si>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</si>
  <si>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</si>
  <si>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</si>
  <si>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</si>
  <si>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</si>
  <si>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</si>
  <si>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</si>
  <si>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</si>
  <si>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</si>
  <si>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</si>
  <si>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</si>
  <si>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</si>
  <si>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</si>
  <si>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</si>
  <si>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</si>
  <si>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</si>
  <si>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</si>
  <si>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</si>
  <si>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</si>
  <si>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</si>
  <si>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</si>
  <si>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</si>
  <si>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</si>
  <si>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</si>
  <si>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</si>
  <si>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</si>
  <si>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</si>
  <si>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</si>
  <si>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</si>
  <si>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</si>
  <si>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</si>
  <si>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</si>
  <si>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</si>
  <si>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</si>
  <si>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</si>
  <si>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</si>
  <si>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</si>
  <si>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</si>
  <si>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</si>
  <si>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</si>
  <si>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</si>
  <si>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</si>
  <si>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</si>
  <si>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</si>
  <si>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</si>
  <si>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</si>
  <si>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</si>
  <si>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</si>
  <si>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</si>
  <si>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</si>
  <si>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</si>
  <si>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</si>
  <si>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</si>
  <si>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</si>
  <si>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</si>
  <si>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</si>
  <si>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</si>
  <si>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</si>
  <si>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</si>
  <si>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</si>
  <si>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</si>
  <si>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</si>
  <si>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</si>
  <si>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</si>
  <si>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</si>
  <si>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</si>
  <si>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</si>
  <si>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</si>
  <si>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</si>
  <si>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</si>
  <si>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</si>
  <si>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</si>
  <si>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</si>
  <si>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</si>
  <si>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</si>
  <si>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</si>
  <si>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</si>
  <si>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</si>
  <si>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</si>
  <si>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</si>
  <si>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</si>
  <si>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</si>
  <si>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</si>
  <si>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</si>
  <si>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</si>
  <si>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</si>
  <si>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</si>
  <si>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</si>
  <si>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</si>
  <si>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</si>
  <si>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</si>
  <si>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</si>
  <si>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</si>
  <si>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</si>
  <si>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</si>
  <si>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</si>
  <si>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</si>
  <si>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</si>
  <si>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</si>
  <si>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</si>
  <si>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</si>
  <si>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</si>
  <si>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</si>
  <si>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</si>
  <si>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</si>
  <si>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</si>
  <si>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</si>
  <si>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</si>
  <si>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</si>
  <si>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</si>
  <si>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</si>
  <si>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</si>
  <si>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</si>
  <si>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</si>
  <si>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</si>
  <si>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</si>
  <si>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</si>
  <si>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</si>
  <si>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</si>
  <si>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</si>
  <si>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</si>
  <si>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</si>
  <si>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</si>
  <si>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</si>
  <si>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</si>
  <si>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</si>
  <si>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</si>
  <si>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</si>
  <si>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</si>
  <si>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</si>
  <si>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</si>
  <si>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</si>
  <si>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</si>
  <si>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</si>
  <si>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</si>
  <si>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</si>
  <si>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</si>
  <si>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</si>
  <si>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</si>
  <si>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</si>
  <si>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</si>
  <si>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</si>
  <si>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</si>
  <si>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</si>
  <si>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</si>
  <si>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</si>
  <si>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</si>
  <si>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</si>
  <si>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</si>
  <si>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</si>
  <si>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</si>
  <si>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</si>
  <si>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</si>
  <si>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</si>
  <si>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</si>
  <si>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</si>
  <si>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</si>
  <si>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</si>
  <si>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</si>
  <si>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</si>
  <si>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</si>
  <si>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</si>
  <si>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</si>
  <si>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</si>
  <si>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</si>
  <si>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</si>
  <si>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</si>
  <si>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</si>
  <si>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</si>
  <si>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</si>
  <si>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</si>
  <si>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</si>
  <si>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</si>
  <si>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</si>
  <si>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</si>
  <si>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</si>
  <si>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</si>
  <si>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</si>
  <si>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</si>
  <si>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</si>
  <si>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</si>
  <si>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</si>
  <si>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</si>
  <si>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</si>
  <si>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</si>
  <si>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</si>
  <si>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</si>
  <si>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</si>
  <si>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</si>
  <si>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</si>
  <si>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</si>
  <si>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</si>
  <si>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</si>
  <si>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</si>
  <si>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</si>
  <si>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</si>
  <si>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</si>
  <si>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</si>
  <si>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</si>
  <si>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</si>
  <si>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</si>
  <si>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</si>
  <si>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</si>
  <si>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</si>
  <si>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</si>
  <si>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</si>
  <si>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</si>
  <si>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</si>
  <si>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</si>
  <si>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</si>
  <si>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</si>
  <si>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</si>
  <si>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</si>
  <si>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</si>
  <si>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</si>
  <si>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</si>
  <si>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</si>
  <si>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</si>
  <si>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</si>
  <si>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</si>
  <si>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</si>
  <si>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</si>
  <si>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</si>
  <si>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</si>
  <si>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</si>
  <si>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</si>
  <si>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</si>
  <si>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</si>
  <si>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</si>
  <si>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</si>
  <si>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</si>
  <si>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</si>
  <si>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</si>
  <si>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</si>
  <si>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</si>
  <si>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</si>
  <si>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</si>
  <si>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</si>
  <si>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</si>
  <si>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</si>
  <si>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</si>
  <si>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</si>
  <si>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</si>
  <si>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</si>
  <si>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</si>
  <si>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</si>
  <si>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</si>
  <si>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</si>
  <si>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</si>
  <si>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</si>
  <si>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</si>
  <si>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</si>
  <si>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</si>
  <si>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</si>
  <si>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</si>
  <si>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</si>
  <si>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</si>
  <si>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</si>
  <si>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</si>
  <si>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</si>
  <si>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</si>
  <si>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</si>
  <si>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</si>
  <si>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</si>
  <si>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</si>
  <si>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</si>
  <si>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</si>
  <si>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</si>
  <si>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</si>
  <si>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</si>
  <si>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</si>
  <si>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</si>
  <si>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</si>
  <si>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</si>
  <si>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</si>
  <si>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</si>
  <si>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</si>
  <si>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</si>
  <si>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</si>
  <si>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</si>
  <si>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</si>
  <si>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</si>
  <si>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</si>
  <si>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</si>
  <si>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</si>
  <si>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</si>
  <si>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</si>
  <si>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</si>
  <si>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</si>
  <si>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</si>
  <si>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</si>
  <si>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</si>
  <si>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</si>
  <si>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</si>
  <si>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</si>
  <si>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</si>
  <si>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</si>
  <si>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</si>
  <si>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</si>
  <si>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</si>
  <si>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</si>
  <si>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</si>
  <si>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</si>
  <si>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</si>
  <si>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</si>
  <si>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</si>
  <si>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</si>
  <si>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</si>
  <si>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</si>
  <si>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</si>
  <si>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</si>
  <si>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</si>
  <si>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</si>
  <si>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</si>
  <si>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</si>
  <si>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</si>
  <si>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</si>
  <si>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</si>
  <si>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</si>
  <si>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</si>
  <si>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</si>
  <si>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</si>
  <si>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</si>
  <si>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</si>
  <si>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</si>
  <si>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</si>
  <si>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</si>
  <si>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</si>
  <si>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</si>
  <si>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</si>
  <si>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</si>
  <si>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</si>
  <si>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</si>
  <si>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</si>
  <si>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</si>
  <si>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</si>
  <si>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</si>
  <si>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</si>
  <si>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</si>
  <si>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</si>
  <si>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</si>
  <si>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</si>
  <si>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</si>
  <si>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</si>
  <si>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</si>
  <si>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</si>
  <si>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</si>
  <si>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</si>
  <si>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</si>
  <si>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</si>
  <si>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</si>
  <si>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</si>
  <si>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</si>
  <si>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</si>
  <si>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</si>
  <si>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</si>
  <si>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</si>
  <si>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</si>
  <si>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</si>
  <si>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</si>
  <si>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</si>
  <si>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</si>
  <si>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</si>
  <si>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</si>
  <si>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</si>
  <si>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</si>
  <si>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</si>
  <si>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</si>
  <si>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</si>
  <si>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</si>
  <si>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</si>
  <si>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</si>
  <si>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</si>
  <si>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</si>
  <si>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</si>
  <si>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</si>
  <si>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</si>
  <si>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</si>
  <si>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</si>
  <si>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</si>
  <si>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</si>
  <si>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</si>
  <si>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</si>
  <si>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</si>
  <si>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</si>
  <si>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</si>
  <si>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</si>
  <si>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</si>
  <si>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</si>
  <si>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</si>
  <si>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</si>
  <si>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</si>
  <si>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</si>
  <si>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</si>
  <si>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</si>
  <si>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</si>
  <si>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</si>
  <si>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</si>
  <si>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</si>
  <si>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</si>
  <si>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</si>
  <si>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</si>
  <si>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</si>
  <si>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</si>
  <si>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</si>
  <si>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</si>
  <si>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</si>
  <si>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</si>
  <si>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</si>
  <si>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</si>
  <si>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</si>
  <si>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</si>
  <si>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</si>
  <si>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</si>
  <si>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</si>
  <si>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</si>
  <si>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</si>
  <si>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</si>
  <si>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</si>
  <si>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</si>
  <si>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</si>
  <si>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</si>
  <si>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</si>
  <si>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</si>
  <si>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</si>
  <si>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</si>
  <si>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</si>
  <si>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</si>
  <si>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</si>
  <si>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</si>
  <si>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</si>
  <si>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</si>
  <si>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</si>
  <si>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</si>
  <si>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</si>
  <si>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</si>
  <si>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</si>
  <si>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</si>
  <si>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</si>
  <si>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</si>
  <si>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</si>
  <si>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</si>
  <si>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</si>
  <si>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</si>
  <si>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</si>
  <si>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</si>
  <si>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</si>
  <si>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</si>
  <si>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</si>
  <si>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</si>
  <si>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</si>
  <si>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</si>
  <si>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</si>
  <si>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</si>
  <si>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</si>
  <si>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</si>
  <si>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</si>
  <si>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</si>
  <si>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</si>
  <si>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</si>
  <si>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</si>
  <si>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</si>
  <si>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</si>
  <si>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</si>
  <si>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</si>
  <si>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</si>
  <si>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</si>
  <si>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</si>
  <si>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</si>
  <si>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</si>
  <si>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</si>
  <si>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</si>
  <si>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</si>
  <si>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</si>
  <si>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</si>
  <si>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</si>
  <si>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</si>
  <si>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</si>
  <si>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</si>
  <si>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</si>
  <si>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Abbot Whisper MS</t>
  </si>
  <si>
    <t>Abbot Whisper LS</t>
  </si>
  <si>
    <t>20 ml</t>
  </si>
  <si>
    <t>Pilot 150, 190 cm</t>
  </si>
  <si>
    <t>Pilot 150, 300 cm</t>
  </si>
  <si>
    <t>Медведева А.Ю.</t>
  </si>
  <si>
    <t>Вольхин М.В.</t>
  </si>
  <si>
    <t>Оставлен</t>
  </si>
  <si>
    <t>Извлечён</t>
  </si>
  <si>
    <t>лучевой</t>
  </si>
  <si>
    <t xml:space="preserve">Контроль места пункции, повязка на 6 ч. </t>
  </si>
  <si>
    <t>DES, Metafor</t>
  </si>
  <si>
    <t>Artimes</t>
  </si>
  <si>
    <t>NC Apollo</t>
  </si>
  <si>
    <t>50 ml</t>
  </si>
  <si>
    <t>200 ml</t>
  </si>
  <si>
    <t>Тимофеев В.Е.</t>
  </si>
  <si>
    <t>BMW</t>
  </si>
  <si>
    <t>16:54</t>
  </si>
  <si>
    <t>Совместно с д/кардиологом: с учетом клинических данных, ЭКГ и КАГ рекомендовано ЧКВ ПКА, ПНА.</t>
  </si>
  <si>
    <t>выраженый кальциноз, стеноз дистальной трети 50%</t>
  </si>
  <si>
    <r>
      <t>выраженный кальциноз на протяжении проксимального и дистального сегментов, субтотальный (99%) нестабильный  стеноз устья ПНА, стеноз среднего сегмента 70%, кровоток пропульсивный TIMI I-II.</t>
    </r>
    <r>
      <rPr>
        <b/>
        <sz val="11"/>
        <color theme="1"/>
        <rFont val="Arial Narrow"/>
        <family val="2"/>
        <charset val="204"/>
      </rPr>
      <t/>
    </r>
  </si>
  <si>
    <t>выраженный кальциноз проксимального сегмента, стеноз проксимального сегмента до 50%, стеноз ВТК 30%, кровоток TIMI III</t>
  </si>
  <si>
    <t xml:space="preserve">Сбалансированный </t>
  </si>
  <si>
    <t>состояние после стентирования проксимального и среднего сегментов ПКА от 2018г(3 BMS). Определяется выраженный  кальциноз на протяжении всех сегментов, стент проксимального сегмента с рестенозом 30%, рестеноз in stent среднего сегмента  50%, субтотальный нестабильный стеноз дистального сегмента ПКА, субтотальный стеноз устья крупной ВОК. Антеградный ковоток пропульсивный TIMI I-II</t>
  </si>
  <si>
    <t>Коллатераьный кровоток: из ОА в дистальный сегмент ЗМЖВ. Коллатераи из ПКА в СВ ПНА.</t>
  </si>
  <si>
    <t xml:space="preserve">Устье ПКА катетеризировано проводниковым катетером Launcher JR 3,5 6Fr. Коронарный проводник Whisper MS провести за зону нестабильной субокклюзии не удалось. Баллонный катетер удалось провести только до среднего сегмента.  Устье ствола ЛКА катетеризировано проводниковым катетером Launcher EBU 3,5 6Fr.  Коронарный проводник Whisper MS  удалось провести за зону нестабильной субокклюзии устья ПНА в ДВ.  Попытки заведения БК Artimes 2,5 - 15 мм в зону интереса безуспешна. На контрольной съемке антеградный кровоток по ПНА - TIMI 0-I.  Ангиографический результат не дотигнут. Пациент в тяжелом состоянии транспортируется в ПРИТ для дальнейшего наблюдения и лечения. </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</si>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</sst>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10"/>
      <color theme="1"/>
      <name val="Arial Narrow"/>
      <family val="2"/>
      <charset val="204"/>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7" fillId="0" borderId="20" xfId="0" applyNumberFormat="1" applyFont="1" applyBorder="1" applyAlignment="1">
      <alignment horizontal="left" vertical="center" wrapText="1"/>
    </xf>
    <xf numFmtId="0" fontId="47" fillId="0" borderId="20" xfId="0" applyFont="1" applyBorder="1" applyAlignment="1">
      <alignment horizontal="left" vertical="center" wrapText="1"/>
    </xf>
    <xf numFmtId="14" fontId="57"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9"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2" fillId="13" borderId="0" xfId="0" applyFont="1" applyFill="1" applyAlignment="1">
      <alignment horizontal="left"/>
    </xf>
    <xf numFmtId="0" fontId="2" fillId="0" borderId="0" xfId="0" applyFont="1"/>
    <xf numFmtId="0" fontId="70"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63" fillId="0" borderId="0" xfId="0" applyFont="1" applyAlignment="1" applyProtection="1">
      <alignment horizontal="justify" vertical="top" wrapText="1"/>
      <protection locked="0"/>
    </xf>
    <xf numFmtId="0" fontId="59" fillId="0" borderId="0" xfId="0" applyFont="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71" fillId="0" borderId="5"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051;&#1091;&#1095;&#1096;&#1080;&#1081;%20&#1089;&#1086;&#1089;&#1091;&#1076;&#1080;&#1089;&#1090;&#1099;&#1081;%20&#1094;&#1077;&#1085;&#1090;&#1088;%202025\&#1063;&#1050;&#1042;%20&#1054;&#1050;&#1057;\&#1041;&#1077;&#1088;&#1077;&#1078;&#1085;&#1086;&#1081;%20&#1045;.&#1048;.%20&#1050;&#1040;&#1043;%20+%20&#1089;&#1090;&#1077;&#1085;&#1090;%20&#1055;&#1053;&#1040;%20&#1054;&#10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Г"/>
      <sheetName val="ЧКВ"/>
      <sheetName val="КАГ to 1C"/>
      <sheetName val="Карта учёта"/>
      <sheetName val="Вмешательства"/>
      <sheetName val="Расходный материал"/>
      <sheetName val="Сотрудники"/>
      <sheetName val="Остальное"/>
    </sheetNames>
    <sheetDataSet>
      <sheetData sheetId="0"/>
      <sheetData sheetId="1"/>
      <sheetData sheetId="2"/>
      <sheetData sheetId="3"/>
      <sheetData sheetId="4">
        <row r="3">
          <cell r="F3" t="str">
            <v>ОКС с ↑ ST</v>
          </cell>
        </row>
        <row r="19">
          <cell r="F19" t="str">
            <v>Реканализация:</v>
          </cell>
        </row>
      </sheetData>
      <sheetData sheetId="5"/>
      <sheetData sheetId="6"/>
      <sheetData sheetId="7"/>
    </sheetDataSet>
  </externalBook>
</externalLink>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1"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tabSelected="1" showWhiteSpace="0" zoomScaleNormal="100" zoomScaleSheetLayoutView="100" zoomScalePageLayoutView="90" workbookViewId="0">
      <selection activeCell="I37" sqref="I37"/>
    </sheetView>
  </sheetViews>
  <sheetFormatPr defaultColWidth="0" defaultRowHeight="15" zeroHeight="1"/>
  <cols>
    <col min="1" max="1" width="17.7109375" style="209" bestFit="1" customWidth="1"/>
    <col min="2" max="2" width="21.5703125" style="209" customWidth="1"/>
    <col min="3" max="3" width="6.28515625" style="209" customWidth="1"/>
    <col min="4" max="4" width="6.85546875" style="209" customWidth="1"/>
    <col min="5" max="5" width="4.85546875" style="209" customWidth="1"/>
    <col min="6" max="6" width="6.28515625" style="209" customWidth="1"/>
    <col min="7" max="7" width="17.7109375" style="209" customWidth="1"/>
    <col min="8" max="8" width="17.140625" style="209" customWidth="1"/>
    <col min="9" max="9" width="15.28515625" style="209" customWidth="1"/>
    <col min="10" max="10" width="7.28515625" style="209"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1" t="s">
        <v>213</v>
      </c>
      <c r="B6" s="222"/>
      <c r="C6" s="222"/>
      <c r="D6" s="222"/>
      <c r="E6" s="222"/>
      <c r="F6" s="222"/>
      <c r="G6" s="222"/>
      <c r="H6" s="223"/>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45734</v>
      </c>
      <c r="C8" s="53"/>
      <c r="D8" s="15" t="s">
        <v>186</v>
      </c>
      <c r="E8" s="28"/>
      <c r="F8" s="28"/>
      <c r="G8" s="16"/>
      <c r="H8" s="17"/>
    </row>
    <row r="9" spans="1:8" ht="15.6" customHeight="1">
      <c r="A9" s="20" t="s">
        <v>193</v>
      </c>
      <c r="B9" s="21">
        <v>0.64583333333333337</v>
      </c>
      <c r="C9" s="53"/>
      <c r="D9" s="93" t="s">
        <v>172</v>
      </c>
      <c r="E9" s="91"/>
      <c r="F9" s="91"/>
      <c r="G9" s="22" t="s">
        <v>163</v>
      </c>
      <c r="H9" s="24"/>
    </row>
    <row r="10" spans="1:8" ht="15.6" customHeight="1" thickBot="1">
      <c r="A10" s="82" t="s">
        <v>194</v>
      </c>
      <c r="B10" s="83">
        <v>0.65277777777777779</v>
      </c>
      <c r="C10" s="54"/>
      <c r="D10" s="94" t="s">
        <v>173</v>
      </c>
      <c r="E10" s="92"/>
      <c r="F10" s="92"/>
      <c r="G10" s="23" t="s">
        <v>275</v>
      </c>
      <c r="H10" s="25"/>
    </row>
    <row r="11" spans="1:8" ht="17.25" thickTop="1" thickBot="1">
      <c r="A11" s="88" t="s">
        <v>192</v>
      </c>
      <c r="B11" s="201" t="s">
        <v>534</v>
      </c>
      <c r="C11" s="8"/>
      <c r="D11" s="94" t="s">
        <v>170</v>
      </c>
      <c r="E11" s="92"/>
      <c r="F11" s="92"/>
      <c r="G11" s="23" t="s">
        <v>250</v>
      </c>
      <c r="H11" s="25"/>
    </row>
    <row r="12" spans="1:8" ht="16.5" thickTop="1">
      <c r="A12" s="80" t="s">
        <v>8</v>
      </c>
      <c r="B12" s="81">
        <v>20699</v>
      </c>
      <c r="C12" s="11"/>
      <c r="D12" s="94" t="s">
        <v>302</v>
      </c>
      <c r="E12" s="92"/>
      <c r="F12" s="92"/>
      <c r="G12" s="23" t="s">
        <v>177</v>
      </c>
      <c r="H12" s="25"/>
    </row>
    <row r="13" spans="1:8" ht="15.75">
      <c r="A13" s="14" t="s">
        <v>10</v>
      </c>
      <c r="B13" s="29">
        <f>DATEDIF(B12,B8,"y")</f>
        <v>68</v>
      </c>
      <c r="C13" s="11"/>
      <c r="D13" s="94"/>
      <c r="E13" s="92"/>
      <c r="F13" s="92"/>
      <c r="G13" s="23"/>
      <c r="H13" s="25"/>
    </row>
    <row r="14" spans="1:8" ht="15.75">
      <c r="A14" s="14" t="s">
        <v>12</v>
      </c>
      <c r="B14" s="18">
        <v>7524</v>
      </c>
      <c r="C14" s="11"/>
      <c r="D14" s="35"/>
      <c r="E14" s="35"/>
      <c r="F14" s="35"/>
      <c r="G14" s="36"/>
      <c r="H14" s="55"/>
    </row>
    <row r="15" spans="1:8" ht="15.75">
      <c r="A15" s="14" t="s">
        <v>133</v>
      </c>
      <c r="B15" s="18">
        <v>35</v>
      </c>
      <c r="C15"/>
      <c r="D15" s="35"/>
      <c r="E15" s="35"/>
      <c r="F15" s="35"/>
      <c r="G15" s="163" t="s">
        <v>397</v>
      </c>
      <c r="H15" s="167" t="s">
        <v>536</v>
      </c>
    </row>
    <row r="16" spans="1:8" ht="15.6" customHeight="1">
      <c r="A16" s="14" t="s">
        <v>106</v>
      </c>
      <c r="B16" s="18" t="s">
        <v>483</v>
      </c>
      <c r="C16"/>
      <c r="D16" s="35"/>
      <c r="E16" s="35"/>
      <c r="F16" s="35"/>
      <c r="G16" s="164" t="s">
        <v>399</v>
      </c>
      <c r="H16" s="162">
        <v>10900</v>
      </c>
    </row>
    <row r="17" spans="1:8" ht="14.45" customHeight="1">
      <c r="A17" s="39"/>
      <c r="B17" s="30"/>
      <c r="C17" s="30"/>
      <c r="D17" s="87"/>
      <c r="E17" s="87"/>
      <c r="F17" s="87"/>
      <c r="G17" s="165" t="s">
        <v>386</v>
      </c>
      <c r="H17" s="166">
        <f>H16*0.0019</f>
        <v>20.71</v>
      </c>
    </row>
    <row r="18" spans="1:8" ht="14.45" customHeight="1">
      <c r="A18" s="56" t="s">
        <v>188</v>
      </c>
      <c r="B18" s="86" t="s">
        <v>541</v>
      </c>
      <c r="C18"/>
      <c r="D18" s="27" t="s">
        <v>210</v>
      </c>
      <c r="E18" s="27"/>
      <c r="F18" s="27"/>
      <c r="G18" s="84" t="s">
        <v>189</v>
      </c>
      <c r="H18" s="85" t="s">
        <v>527</v>
      </c>
    </row>
    <row r="19" spans="1:8" ht="14.45" customHeight="1">
      <c r="A19" s="39"/>
      <c r="B19" s="30"/>
      <c r="C19" s="30"/>
      <c r="D19" s="33"/>
      <c r="E19" s="33"/>
      <c r="F19" s="33"/>
      <c r="G19" s="30"/>
      <c r="H19" s="40"/>
    </row>
    <row r="20" spans="1:8" ht="14.45" customHeight="1">
      <c r="A20" s="56" t="s">
        <v>212</v>
      </c>
      <c r="B20" s="224" t="s">
        <v>538</v>
      </c>
      <c r="C20" s="225"/>
      <c r="D20" s="225"/>
      <c r="E20" s="225"/>
      <c r="F20" s="225"/>
      <c r="G20" s="225"/>
      <c r="H20" s="226"/>
    </row>
    <row r="21" spans="1:8">
      <c r="A21" s="57"/>
      <c r="B21" s="227"/>
      <c r="C21" s="227"/>
      <c r="D21" s="227"/>
      <c r="E21" s="227"/>
      <c r="F21" s="227"/>
      <c r="G21" s="227"/>
      <c r="H21" s="228"/>
    </row>
    <row r="22" spans="1:8" ht="15.6" customHeight="1">
      <c r="A22" s="58" t="s">
        <v>271</v>
      </c>
      <c r="B22" s="229" t="s">
        <v>539</v>
      </c>
      <c r="C22" s="229"/>
      <c r="D22" s="229"/>
      <c r="E22" s="229"/>
      <c r="F22" s="229"/>
      <c r="G22" s="229"/>
      <c r="H22" s="230"/>
    </row>
    <row r="23" spans="1:8" ht="14.45" customHeight="1">
      <c r="A23" s="37"/>
      <c r="B23" s="224"/>
      <c r="C23" s="224"/>
      <c r="D23" s="224"/>
      <c r="E23" s="224"/>
      <c r="F23" s="224"/>
      <c r="G23" s="224"/>
      <c r="H23" s="231"/>
    </row>
    <row r="24" spans="1:8" ht="14.45" customHeight="1">
      <c r="A24" s="59"/>
      <c r="B24" s="224"/>
      <c r="C24" s="224"/>
      <c r="D24" s="224"/>
      <c r="E24" s="224"/>
      <c r="F24" s="224"/>
      <c r="G24" s="224"/>
      <c r="H24" s="231"/>
    </row>
    <row r="25" spans="1:8" ht="14.45" customHeight="1">
      <c r="A25" s="37"/>
      <c r="B25" s="224"/>
      <c r="C25" s="224"/>
      <c r="D25" s="224"/>
      <c r="E25" s="224"/>
      <c r="F25" s="224"/>
      <c r="G25" s="224"/>
      <c r="H25" s="231"/>
    </row>
    <row r="26" spans="1:8" ht="14.45" customHeight="1">
      <c r="A26" s="39"/>
      <c r="B26" s="232"/>
      <c r="C26" s="232"/>
      <c r="D26" s="232"/>
      <c r="E26" s="232"/>
      <c r="F26" s="232"/>
      <c r="G26" s="232"/>
      <c r="H26" s="233"/>
    </row>
    <row r="27" spans="1:8" ht="14.45" customHeight="1">
      <c r="A27" s="58" t="s">
        <v>272</v>
      </c>
      <c r="B27" s="229" t="s">
        <v>540</v>
      </c>
      <c r="C27" s="229"/>
      <c r="D27" s="229"/>
      <c r="E27" s="229"/>
      <c r="F27" s="229"/>
      <c r="G27" s="229"/>
      <c r="H27" s="230"/>
    </row>
    <row r="28" spans="1:8" ht="15.6" customHeight="1">
      <c r="A28" s="37"/>
      <c r="B28" s="224"/>
      <c r="C28" s="224"/>
      <c r="D28" s="224"/>
      <c r="E28" s="224"/>
      <c r="F28" s="224"/>
      <c r="G28" s="224"/>
      <c r="H28" s="231"/>
    </row>
    <row r="29" spans="1:8" ht="14.45" customHeight="1">
      <c r="A29" s="37"/>
      <c r="B29" s="224"/>
      <c r="C29" s="224"/>
      <c r="D29" s="224"/>
      <c r="E29" s="224"/>
      <c r="F29" s="224"/>
      <c r="G29" s="224"/>
      <c r="H29" s="231"/>
    </row>
    <row r="30" spans="1:8" ht="14.45" customHeight="1">
      <c r="A30" s="31"/>
      <c r="B30" s="224"/>
      <c r="C30" s="224"/>
      <c r="D30" s="224"/>
      <c r="E30" s="224"/>
      <c r="F30" s="224"/>
      <c r="G30" s="224"/>
      <c r="H30" s="231"/>
    </row>
    <row r="31" spans="1:8" ht="14.45" customHeight="1">
      <c r="A31" s="32"/>
      <c r="B31" s="232"/>
      <c r="C31" s="232"/>
      <c r="D31" s="232"/>
      <c r="E31" s="232"/>
      <c r="F31" s="232"/>
      <c r="G31" s="232"/>
      <c r="H31" s="233"/>
    </row>
    <row r="32" spans="1:8" ht="14.45" customHeight="1">
      <c r="A32" s="58" t="s">
        <v>273</v>
      </c>
      <c r="B32" s="234" t="s">
        <v>542</v>
      </c>
      <c r="C32" s="229"/>
      <c r="D32" s="229"/>
      <c r="E32" s="229"/>
      <c r="F32" s="229"/>
      <c r="G32" s="229"/>
      <c r="H32" s="230"/>
    </row>
    <row r="33" spans="1:8" ht="14.45" customHeight="1">
      <c r="A33" s="37"/>
      <c r="B33" s="224"/>
      <c r="C33" s="224"/>
      <c r="D33" s="224"/>
      <c r="E33" s="224"/>
      <c r="F33" s="224"/>
      <c r="G33" s="224"/>
      <c r="H33" s="231"/>
    </row>
    <row r="34" spans="1:8" ht="15.6" customHeight="1">
      <c r="A34" s="37"/>
      <c r="B34" s="224"/>
      <c r="C34" s="224"/>
      <c r="D34" s="224"/>
      <c r="E34" s="224"/>
      <c r="F34" s="224"/>
      <c r="G34" s="224"/>
      <c r="H34" s="231"/>
    </row>
    <row r="35" spans="1:8" ht="14.45" customHeight="1">
      <c r="A35" s="37"/>
      <c r="B35" s="224"/>
      <c r="C35" s="224"/>
      <c r="D35" s="224"/>
      <c r="E35" s="224"/>
      <c r="F35" s="224"/>
      <c r="G35" s="224"/>
      <c r="H35" s="231"/>
    </row>
    <row r="36" spans="1:8" ht="15.6" customHeight="1">
      <c r="A36" s="37"/>
      <c r="B36" s="232"/>
      <c r="C36" s="232"/>
      <c r="D36" s="232"/>
      <c r="E36" s="232"/>
      <c r="F36" s="232"/>
      <c r="G36" s="232"/>
      <c r="H36" s="233"/>
    </row>
    <row r="37" spans="1:8" ht="14.45" customHeight="1">
      <c r="A37" s="37"/>
      <c r="B37"/>
      <c r="C37"/>
      <c r="D37" s="217" t="str">
        <f>IF($A$6=Вмешательства!$D$3,Вмешательства!$F$18,"")</f>
        <v/>
      </c>
      <c r="E37" s="217"/>
      <c r="F37" s="118"/>
      <c r="G37" s="118"/>
      <c r="H37" s="122"/>
    </row>
    <row r="38" spans="1:8" ht="14.45" customHeight="1">
      <c r="A38" s="37"/>
      <c r="B38"/>
      <c r="C38" s="123"/>
      <c r="D38" s="218" t="s">
        <v>543</v>
      </c>
      <c r="E38" s="219"/>
      <c r="F38" s="219"/>
      <c r="G38" s="219"/>
      <c r="H38" s="220"/>
    </row>
    <row r="39" spans="1:8" ht="14.45" customHeight="1">
      <c r="A39" s="34"/>
      <c r="B39" s="118"/>
      <c r="C39" s="123"/>
      <c r="D39" s="219"/>
      <c r="E39" s="219"/>
      <c r="F39" s="219"/>
      <c r="G39" s="219"/>
      <c r="H39" s="220"/>
    </row>
    <row r="40" spans="1:8" ht="14.45" customHeight="1">
      <c r="A40" s="34"/>
      <c r="B40" s="118"/>
      <c r="C40" s="123"/>
      <c r="D40" s="219"/>
      <c r="E40" s="219"/>
      <c r="F40" s="219"/>
      <c r="G40" s="219"/>
      <c r="H40" s="220"/>
    </row>
    <row r="41" spans="1:8" ht="14.45" customHeight="1">
      <c r="A41" s="34"/>
      <c r="B41" s="118"/>
      <c r="C41" s="123"/>
      <c r="D41" s="219"/>
      <c r="E41" s="219"/>
      <c r="F41" s="219"/>
      <c r="G41" s="219"/>
      <c r="H41" s="220"/>
    </row>
    <row r="42" spans="1:8" ht="14.45" customHeight="1">
      <c r="A42" s="34"/>
      <c r="B42" s="118"/>
      <c r="C42" s="124"/>
      <c r="D42" s="126"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1"/>
      <c r="F42" s="41"/>
      <c r="G42" s="41"/>
      <c r="H42" s="60"/>
    </row>
    <row r="43" spans="1:8" ht="14.45" customHeight="1">
      <c r="A43" s="34"/>
      <c r="B43" s="118"/>
      <c r="C43" s="125"/>
      <c r="D43" s="214" t="s">
        <v>537</v>
      </c>
      <c r="E43" s="215"/>
      <c r="F43" s="215"/>
      <c r="G43" s="215"/>
      <c r="H43" s="216"/>
    </row>
    <row r="44" spans="1:8" ht="14.45" customHeight="1">
      <c r="A44" s="34"/>
      <c r="B44" s="118"/>
      <c r="C44" s="125"/>
      <c r="D44" s="215"/>
      <c r="E44" s="215"/>
      <c r="F44" s="215"/>
      <c r="G44" s="215"/>
      <c r="H44" s="216"/>
    </row>
    <row r="45" spans="1:8" ht="14.45" customHeight="1">
      <c r="A45" s="34"/>
      <c r="B45" s="118"/>
      <c r="C45" s="125"/>
      <c r="D45" s="215"/>
      <c r="E45" s="215"/>
      <c r="F45" s="215"/>
      <c r="G45" s="215"/>
      <c r="H45" s="216"/>
    </row>
    <row r="46" spans="1:8">
      <c r="A46" s="34"/>
      <c r="B46" s="118"/>
      <c r="C46" s="125"/>
      <c r="D46" s="215"/>
      <c r="E46" s="215"/>
      <c r="F46" s="215"/>
      <c r="G46" s="215"/>
      <c r="H46" s="216"/>
    </row>
    <row r="47" spans="1:8">
      <c r="A47" s="37"/>
      <c r="B47"/>
      <c r="C47" s="125"/>
      <c r="D47" s="215"/>
      <c r="E47" s="215"/>
      <c r="F47" s="215"/>
      <c r="G47" s="215"/>
      <c r="H47" s="216"/>
    </row>
    <row r="48" spans="1:8">
      <c r="A48" s="37"/>
      <c r="B48"/>
      <c r="C48" s="125"/>
      <c r="D48" s="215"/>
      <c r="E48" s="215"/>
      <c r="F48" s="215"/>
      <c r="G48" s="215"/>
      <c r="H48" s="216"/>
    </row>
    <row r="49" spans="1:13">
      <c r="A49" s="37"/>
      <c r="B49" s="203"/>
      <c r="C49" s="204"/>
      <c r="D49" s="215"/>
      <c r="E49" s="215"/>
      <c r="F49" s="215"/>
      <c r="G49" s="215"/>
      <c r="H49" s="216"/>
    </row>
    <row r="50" spans="1:13">
      <c r="A50" s="37"/>
      <c r="B50"/>
      <c r="C50"/>
      <c r="D50" s="215"/>
      <c r="E50" s="215"/>
      <c r="F50" s="215"/>
      <c r="G50" s="215"/>
      <c r="H50" s="216"/>
      <c r="M50" t="s">
        <v>211</v>
      </c>
    </row>
    <row r="51" spans="1:13">
      <c r="A51" s="61" t="s">
        <v>204</v>
      </c>
      <c r="B51" s="62" t="s">
        <v>532</v>
      </c>
      <c r="C51"/>
      <c r="D51"/>
      <c r="E51"/>
      <c r="F51"/>
      <c r="G51" s="73" t="str">
        <f>$G$9</f>
        <v>Щербаков А.С.</v>
      </c>
      <c r="H51" s="63"/>
    </row>
    <row r="52" spans="1:13">
      <c r="A52" s="37"/>
      <c r="B52"/>
      <c r="C52"/>
      <c r="D52"/>
      <c r="E52"/>
      <c r="F52"/>
      <c r="G52"/>
      <c r="H52" s="38"/>
    </row>
    <row r="53" spans="1:13">
      <c r="A53" s="64" t="s">
        <v>206</v>
      </c>
      <c r="B53" s="65" t="s">
        <v>525</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showWhiteSpace="0" topLeftCell="A6" zoomScaleNormal="100" zoomScaleSheetLayoutView="100" zoomScalePageLayoutView="90" workbookViewId="0">
      <selection activeCell="I19" sqref="I19"/>
    </sheetView>
  </sheetViews>
  <sheetFormatPr defaultColWidth="0" defaultRowHeight="15" zeroHeight="1"/>
  <cols>
    <col min="1" max="1" width="18.85546875" style="210" customWidth="1"/>
    <col min="2" max="2" width="21.5703125" style="210" customWidth="1"/>
    <col min="3" max="3" width="6.28515625" style="210" customWidth="1"/>
    <col min="4" max="4" width="6.85546875" style="210" customWidth="1"/>
    <col min="5" max="5" width="4.85546875" style="210" customWidth="1"/>
    <col min="6" max="6" width="6" style="210" customWidth="1"/>
    <col min="7" max="7" width="17.7109375" style="210" customWidth="1"/>
    <col min="8" max="8" width="17.140625" style="210" customWidth="1"/>
    <col min="9" max="9" width="15.28515625" style="210" customWidth="1"/>
    <col min="10" max="10" width="7.28515625" style="210"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t="s">
        <v>247</v>
      </c>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A16.12.028.017</v>
      </c>
      <c r="B8"/>
      <c r="C8" s="244"/>
      <c r="D8" s="244"/>
      <c r="E8" s="244"/>
      <c r="F8" s="188"/>
      <c r="G8" s="117"/>
      <c r="H8" s="156"/>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4"/>
      <c r="D9" s="244"/>
      <c r="E9" s="244"/>
      <c r="F9" s="188"/>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7"/>
      <c r="C10" s="248"/>
      <c r="D10" s="248"/>
      <c r="E10" s="248"/>
      <c r="F10" s="191"/>
      <c r="G10" s="117"/>
      <c r="H10" s="38"/>
    </row>
    <row r="11" spans="1:8">
      <c r="A11" s="190"/>
      <c r="B11" s="194"/>
      <c r="C11" s="197">
        <f>SUM(F8:F10)</f>
        <v>0</v>
      </c>
      <c r="D11"/>
      <c r="E11"/>
      <c r="F11"/>
      <c r="G11"/>
      <c r="H11" s="38"/>
    </row>
    <row r="12" spans="1:8" ht="18.75">
      <c r="A12" s="74" t="s">
        <v>191</v>
      </c>
      <c r="B12" s="19">
        <f>КАГ!B8</f>
        <v>45734</v>
      </c>
      <c r="C12" s="11"/>
      <c r="D12" s="15" t="s">
        <v>186</v>
      </c>
      <c r="E12" s="28"/>
      <c r="F12" s="28"/>
      <c r="G12" s="16"/>
      <c r="H12" s="17"/>
    </row>
    <row r="13" spans="1:8" ht="15.75">
      <c r="A13" s="75" t="s">
        <v>193</v>
      </c>
      <c r="B13" s="21">
        <f>КАГ!B10</f>
        <v>0.65277777777777779</v>
      </c>
      <c r="C13" s="11"/>
      <c r="D13" s="93" t="s">
        <v>172</v>
      </c>
      <c r="E13" s="91"/>
      <c r="F13" s="91"/>
      <c r="G13" s="78" t="str">
        <f>КАГ!G9</f>
        <v>Щербаков А.С.</v>
      </c>
      <c r="H13" s="89" t="str">
        <f>IF(ISBLANK(КАГ!H9),"",КАГ!H9)</f>
        <v/>
      </c>
    </row>
    <row r="14" spans="1:8" ht="15.75">
      <c r="A14" s="75" t="s">
        <v>194</v>
      </c>
      <c r="B14" s="21">
        <v>0.70138888888888884</v>
      </c>
      <c r="C14" s="11"/>
      <c r="D14" s="94" t="s">
        <v>173</v>
      </c>
      <c r="E14" s="92"/>
      <c r="F14" s="92"/>
      <c r="G14" s="79" t="str">
        <f>КАГ!G10</f>
        <v>Синицина И.А.</v>
      </c>
      <c r="H14" s="90" t="str">
        <f>IF(ISBLANK(КАГ!H10),"",КАГ!H10)</f>
        <v/>
      </c>
    </row>
    <row r="15" spans="1:8" ht="16.5" thickBot="1">
      <c r="A15" s="161" t="s">
        <v>385</v>
      </c>
      <c r="B15" s="186">
        <f>IF(B14&lt;B13,B14+1,B14)-B13</f>
        <v>4.8611111111111049E-2</v>
      </c>
      <c r="C15"/>
      <c r="D15" s="94" t="s">
        <v>170</v>
      </c>
      <c r="E15" s="92"/>
      <c r="F15" s="92"/>
      <c r="G15" s="79" t="str">
        <f>КАГ!G11</f>
        <v>Герасимов М.М.</v>
      </c>
      <c r="H15" s="90" t="str">
        <f>IF(ISBLANK(КАГ!H11),"",КАГ!H11)</f>
        <v/>
      </c>
    </row>
    <row r="16" spans="1:8" ht="17.25" thickTop="1" thickBot="1">
      <c r="A16" s="88" t="s">
        <v>192</v>
      </c>
      <c r="B16" s="199" t="str">
        <f>КАГ!B11</f>
        <v>Тимофеев В.Е.</v>
      </c>
      <c r="C16" s="198">
        <f>LEN(КАГ!B11)</f>
        <v>13</v>
      </c>
      <c r="D16" s="94" t="s">
        <v>302</v>
      </c>
      <c r="E16" s="92"/>
      <c r="F16" s="92"/>
      <c r="G16" s="79" t="str">
        <f>КАГ!G12</f>
        <v>Мишина Е.А</v>
      </c>
      <c r="H16" s="90" t="str">
        <f>IF(ISBLANK(КАГ!H12),"",КАГ!H12)</f>
        <v/>
      </c>
    </row>
    <row r="17" spans="1:8" ht="16.5" thickTop="1">
      <c r="A17" s="14" t="s">
        <v>8</v>
      </c>
      <c r="B17" s="66">
        <f>КАГ!B12</f>
        <v>20699</v>
      </c>
      <c r="C17"/>
      <c r="D17" s="94" t="s">
        <v>184</v>
      </c>
      <c r="E17" s="92"/>
      <c r="F17" s="92"/>
      <c r="G17" s="79" t="str">
        <f>IF(ISBLANK(КАГ!G13),"",КАГ!G13)</f>
        <v/>
      </c>
      <c r="H17" s="90" t="str">
        <f>IF(ISBLANK(КАГ!H13),"",КАГ!H13)</f>
        <v/>
      </c>
    </row>
    <row r="18" spans="1:8" ht="15.75">
      <c r="A18" s="14" t="s">
        <v>10</v>
      </c>
      <c r="B18" s="29">
        <f>КАГ!B13</f>
        <v>68</v>
      </c>
      <c r="C18"/>
      <c r="D18"/>
      <c r="E18"/>
      <c r="F18"/>
      <c r="G18"/>
      <c r="H18" s="38"/>
    </row>
    <row r="19" spans="1:8" ht="14.45" customHeight="1">
      <c r="A19" s="14" t="s">
        <v>12</v>
      </c>
      <c r="B19" s="67">
        <f>КАГ!B14</f>
        <v>7524</v>
      </c>
      <c r="C19" s="68"/>
      <c r="D19" s="68"/>
      <c r="E19" s="68"/>
      <c r="F19" s="68"/>
      <c r="G19" s="163" t="s">
        <v>397</v>
      </c>
      <c r="H19" s="178" t="str">
        <f>КАГ!H15</f>
        <v>16:54</v>
      </c>
    </row>
    <row r="20" spans="1:8" ht="14.45" customHeight="1">
      <c r="A20" s="14" t="s">
        <v>133</v>
      </c>
      <c r="B20" s="67">
        <f>КАГ!B15</f>
        <v>35</v>
      </c>
      <c r="C20" s="69"/>
      <c r="D20" s="69"/>
      <c r="E20" s="69"/>
      <c r="F20" s="69"/>
      <c r="G20" s="164" t="s">
        <v>399</v>
      </c>
      <c r="H20" s="179">
        <f>КАГ!H16</f>
        <v>10900</v>
      </c>
    </row>
    <row r="21" spans="1:8" ht="14.45" customHeight="1">
      <c r="A21" s="14" t="s">
        <v>106</v>
      </c>
      <c r="B21" s="66" t="str">
        <f>КАГ!B16</f>
        <v>ОКС с ↑ ST</v>
      </c>
      <c r="C21" s="69"/>
      <c r="D21"/>
      <c r="E21" s="70"/>
      <c r="F21" s="70"/>
      <c r="G21" s="165" t="s">
        <v>386</v>
      </c>
      <c r="H21" s="166">
        <f>КАГ!H17</f>
        <v>20.71</v>
      </c>
    </row>
    <row r="22" spans="1:8" ht="14.45" customHeight="1">
      <c r="A22" s="56" t="str">
        <f>КАГ!G18</f>
        <v>Доступ:</v>
      </c>
      <c r="B22" s="76" t="str">
        <f>КАГ!H18</f>
        <v>лучевой</v>
      </c>
      <c r="C22" s="69"/>
      <c r="D22" s="69"/>
      <c r="E22" s="69"/>
      <c r="F22" s="69"/>
      <c r="G22" s="182" t="str">
        <f>IF(B21=[1]Вмешательства!F3,[1]Вмешательства!F19,"")</f>
        <v>Реканализация:</v>
      </c>
      <c r="H22" s="183" t="s">
        <v>545</v>
      </c>
    </row>
    <row r="23" spans="1:8" ht="14.45" customHeight="1">
      <c r="A23" s="64" t="s">
        <v>389</v>
      </c>
      <c r="B23" s="170" t="s">
        <v>388</v>
      </c>
      <c r="C23" s="160"/>
      <c r="D23" s="160"/>
      <c r="E23" s="160"/>
      <c r="F23" s="160"/>
      <c r="G23"/>
      <c r="H23" s="38"/>
    </row>
    <row r="24" spans="1:8" ht="14.45" customHeight="1">
      <c r="A24" s="181" t="s">
        <v>387</v>
      </c>
      <c r="B24" s="168"/>
      <c r="C24" s="168"/>
      <c r="D24" s="168"/>
      <c r="E24" s="168"/>
      <c r="F24" s="168"/>
      <c r="G24" s="168"/>
      <c r="H24" s="169"/>
    </row>
    <row r="25" spans="1:8" ht="14.45" customHeight="1">
      <c r="A25" s="252" t="s">
        <v>544</v>
      </c>
      <c r="B25" s="253"/>
      <c r="C25" s="253"/>
      <c r="D25" s="253"/>
      <c r="E25" s="253"/>
      <c r="F25" s="253"/>
      <c r="G25" s="253"/>
      <c r="H25" s="254"/>
    </row>
    <row r="26" spans="1:8" ht="14.45" customHeight="1">
      <c r="A26" s="255"/>
      <c r="B26" s="253"/>
      <c r="C26" s="253"/>
      <c r="D26" s="253"/>
      <c r="E26" s="253"/>
      <c r="F26" s="253"/>
      <c r="G26" s="253"/>
      <c r="H26" s="254"/>
    </row>
    <row r="27" spans="1:8" ht="14.45" customHeight="1">
      <c r="A27" s="255"/>
      <c r="B27" s="253"/>
      <c r="C27" s="253"/>
      <c r="D27" s="253"/>
      <c r="E27" s="253"/>
      <c r="F27" s="253"/>
      <c r="G27" s="253"/>
      <c r="H27" s="254"/>
    </row>
    <row r="28" spans="1:8" ht="14.45" customHeight="1">
      <c r="A28" s="255"/>
      <c r="B28" s="253"/>
      <c r="C28" s="253"/>
      <c r="D28" s="253"/>
      <c r="E28" s="253"/>
      <c r="F28" s="253"/>
      <c r="G28" s="253"/>
      <c r="H28" s="254"/>
    </row>
    <row r="29" spans="1:8" ht="14.45" customHeight="1">
      <c r="A29" s="255"/>
      <c r="B29" s="253"/>
      <c r="C29" s="253"/>
      <c r="D29" s="253"/>
      <c r="E29" s="253"/>
      <c r="F29" s="253"/>
      <c r="G29" s="253"/>
      <c r="H29" s="254"/>
    </row>
    <row r="30" spans="1:8" ht="14.45" customHeight="1">
      <c r="A30" s="255"/>
      <c r="B30" s="253"/>
      <c r="C30" s="253"/>
      <c r="D30" s="253"/>
      <c r="E30" s="253"/>
      <c r="F30" s="253"/>
      <c r="G30" s="253"/>
      <c r="H30" s="254"/>
    </row>
    <row r="31" spans="1:8" ht="14.45" customHeight="1">
      <c r="A31" s="255"/>
      <c r="B31" s="253"/>
      <c r="C31" s="253"/>
      <c r="D31" s="253"/>
      <c r="E31" s="253"/>
      <c r="F31" s="253"/>
      <c r="G31" s="253"/>
      <c r="H31" s="254"/>
    </row>
    <row r="32" spans="1:8" ht="14.45" customHeight="1">
      <c r="A32" s="255"/>
      <c r="B32" s="253"/>
      <c r="C32" s="253"/>
      <c r="D32" s="253"/>
      <c r="E32" s="253"/>
      <c r="F32" s="253"/>
      <c r="G32" s="253"/>
      <c r="H32" s="254"/>
    </row>
    <row r="33" spans="1:12" ht="14.45" customHeight="1">
      <c r="A33" s="255"/>
      <c r="B33" s="253"/>
      <c r="C33" s="253"/>
      <c r="D33" s="253"/>
      <c r="E33" s="253"/>
      <c r="F33" s="253"/>
      <c r="G33" s="253"/>
      <c r="H33" s="254"/>
    </row>
    <row r="34" spans="1:12" ht="14.45" customHeight="1">
      <c r="A34" s="255"/>
      <c r="B34" s="253"/>
      <c r="C34" s="253"/>
      <c r="D34" s="253"/>
      <c r="E34" s="253"/>
      <c r="F34" s="253"/>
      <c r="G34" s="253"/>
      <c r="H34" s="254"/>
    </row>
    <row r="35" spans="1:12" ht="14.45" customHeight="1">
      <c r="A35" s="255"/>
      <c r="B35" s="253"/>
      <c r="C35" s="253"/>
      <c r="D35" s="253"/>
      <c r="E35" s="253"/>
      <c r="F35" s="253"/>
      <c r="G35" s="253"/>
      <c r="H35" s="254"/>
    </row>
    <row r="36" spans="1:12" ht="14.45" customHeight="1">
      <c r="A36" s="255"/>
      <c r="B36" s="253"/>
      <c r="C36" s="253"/>
      <c r="D36" s="253"/>
      <c r="E36" s="253"/>
      <c r="F36" s="253"/>
      <c r="G36" s="253"/>
      <c r="H36" s="254"/>
    </row>
    <row r="37" spans="1:12" ht="14.45" customHeight="1">
      <c r="A37" s="255"/>
      <c r="B37" s="253"/>
      <c r="C37" s="253"/>
      <c r="D37" s="253"/>
      <c r="E37" s="253"/>
      <c r="F37" s="253"/>
      <c r="G37" s="253"/>
      <c r="H37" s="254"/>
    </row>
    <row r="38" spans="1:12" ht="14.45" customHeight="1">
      <c r="A38" s="175" t="s">
        <v>393</v>
      </c>
      <c r="B38" s="173"/>
      <c r="C38" s="174"/>
      <c r="D38" s="174"/>
      <c r="E38" s="184" t="str">
        <f>IF(A6=Вмешательства!D4,Вмешательства!V16,IF(ЧКВ!A6=Вмешательства!D36,Вмешательства!V16,"-----"))</f>
        <v>-----</v>
      </c>
      <c r="F38" s="174"/>
      <c r="G38" s="177"/>
      <c r="H38"/>
    </row>
    <row r="39" spans="1:12" ht="15.75">
      <c r="A39" s="171" t="s">
        <v>390</v>
      </c>
      <c r="B39" s="69" t="s">
        <v>392</v>
      </c>
      <c r="C39" s="120"/>
      <c r="D39" s="121" t="s">
        <v>187</v>
      </c>
      <c r="E39" s="71"/>
      <c r="F39" s="71"/>
      <c r="G39" s="71"/>
      <c r="H39" s="72"/>
    </row>
    <row r="40" spans="1:12" ht="14.45" customHeight="1">
      <c r="A40" s="172" t="s">
        <v>391</v>
      </c>
      <c r="B40" s="176" t="s">
        <v>520</v>
      </c>
      <c r="C40" s="119"/>
      <c r="D40" s="249" t="s">
        <v>528</v>
      </c>
      <c r="E40" s="250"/>
      <c r="F40" s="250"/>
      <c r="G40" s="250"/>
      <c r="H40" s="251"/>
    </row>
    <row r="41" spans="1:12" ht="14.45" customHeight="1">
      <c r="A41" s="31"/>
      <c r="B41" s="27"/>
      <c r="C41" s="119"/>
      <c r="D41" s="250"/>
      <c r="E41" s="250"/>
      <c r="F41" s="250"/>
      <c r="G41" s="250"/>
      <c r="H41" s="251"/>
    </row>
    <row r="42" spans="1:12" ht="14.45" customHeight="1">
      <c r="A42" s="31"/>
      <c r="B42" s="27"/>
      <c r="C42" s="119"/>
      <c r="D42" s="250"/>
      <c r="E42" s="250"/>
      <c r="F42" s="250"/>
      <c r="G42" s="250"/>
      <c r="H42" s="251"/>
    </row>
    <row r="43" spans="1:12" ht="14.45" customHeight="1">
      <c r="A43" s="31"/>
      <c r="B43" s="27"/>
      <c r="C43" s="119"/>
      <c r="D43" s="250"/>
      <c r="E43" s="250"/>
      <c r="F43" s="250"/>
      <c r="G43" s="250"/>
      <c r="H43" s="251"/>
    </row>
    <row r="44" spans="1:12" ht="14.45" customHeight="1">
      <c r="A44" s="31"/>
      <c r="B44" s="27"/>
      <c r="C44" s="119"/>
      <c r="D44" s="250"/>
      <c r="E44" s="250"/>
      <c r="F44" s="250"/>
      <c r="G44" s="250"/>
      <c r="H44" s="251"/>
      <c r="L44" s="158"/>
    </row>
    <row r="45" spans="1:12" ht="14.45" customHeight="1">
      <c r="A45" s="31"/>
      <c r="B45" s="27"/>
      <c r="C45" s="119"/>
      <c r="D45" s="250"/>
      <c r="E45" s="250"/>
      <c r="F45" s="250"/>
      <c r="G45" s="250"/>
      <c r="H45" s="251"/>
    </row>
    <row r="46" spans="1:12" ht="14.45" customHeight="1">
      <c r="A46" s="31"/>
      <c r="B46" s="27"/>
      <c r="C46" s="119"/>
      <c r="D46" s="250"/>
      <c r="E46" s="250"/>
      <c r="F46" s="250"/>
      <c r="G46" s="250"/>
      <c r="H46" s="251"/>
    </row>
    <row r="47" spans="1:12" ht="14.45" customHeight="1">
      <c r="A47" s="37"/>
      <c r="B47"/>
      <c r="C47" s="119"/>
      <c r="D47" s="250"/>
      <c r="E47" s="250"/>
      <c r="F47" s="250"/>
      <c r="G47" s="250"/>
      <c r="H47" s="251"/>
    </row>
    <row r="48" spans="1:12" ht="14.45" customHeight="1">
      <c r="A48" s="37"/>
      <c r="B48"/>
      <c r="C48" s="119"/>
      <c r="D48" s="250"/>
      <c r="E48" s="250"/>
      <c r="F48" s="250"/>
      <c r="G48" s="250"/>
      <c r="H48" s="251"/>
    </row>
    <row r="49" spans="1:8" ht="14.45" customHeight="1">
      <c r="A49" s="37"/>
      <c r="B49"/>
      <c r="C49" s="119"/>
      <c r="D49" s="250"/>
      <c r="E49" s="250"/>
      <c r="F49" s="250"/>
      <c r="G49" s="250"/>
      <c r="H49" s="251"/>
    </row>
    <row r="50" spans="1:8">
      <c r="A50" s="61" t="s">
        <v>204</v>
      </c>
      <c r="B50" s="62" t="s">
        <v>533</v>
      </c>
      <c r="C50"/>
      <c r="D50"/>
      <c r="E50"/>
      <c r="F50"/>
      <c r="G50"/>
      <c r="H50" s="38"/>
    </row>
    <row r="51" spans="1:8">
      <c r="A51" s="64" t="s">
        <v>206</v>
      </c>
      <c r="B51" s="65" t="s">
        <v>526</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7" customWidth="1"/>
    <col min="6" max="16384" width="9.140625" hidden="1"/>
  </cols>
  <sheetData>
    <row r="1" spans="1:1">
      <c r="A1" s="3" t="str">
        <f>КАГ!A6</f>
        <v>КОРОНАРОГРАФИЯ</v>
      </c>
    </row>
    <row r="2" spans="1:1"/>
    <row r="3" spans="1:1" ht="354" customHeight="1">
      <c r="A3" s="208" t="str">
        <f>КАГ!A18&amp;"   "&amp;КАГ!B18&amp;CHAR(10)&amp;CHAR(10)&amp;КАГ!A20&amp;"   "&amp;КАГ!B20&amp;CHAR(10)&amp;CHAR(10)&amp;КАГ!A22&amp;"   "&amp;КАГ!B22&amp;CHAR(10)&amp;CHAR(10)&amp;КАГ!A27&amp;"   "&amp;КАГ!B27&amp;CHAR(10)&amp;CHAR(10)&amp;КАГ!A32&amp;"   "&amp;КАГ!B32</f>
        <v>Тип:   Сбалансированный 
Ствол ЛКА:   выраженый кальциноз, стеноз дистальной трети 50%
Бассейн ПНА:   выраженный кальциноз на протяжении проксимального и дистального сегментов, субтотальный (99%) нестабильный  стеноз устья ПНА, стеноз среднего сегмента 70%, кровоток пропульсивный TIMI I-II.
Бассейн  ОА:   выраженный кальциноз проксимального сегмента, стеноз проксимального сегмента до 50%, стеноз ВТК 30%, кровоток TIMI III
Бассейн ПКА:   состояние после стентирования проксимального и среднего сегментов ПКА от 2018г(3 BMS). Определяется выраженный  кальциноз на протяжении всех сегментов, стент проксимального сегмента с рестенозом 30%, рестеноз in stent среднего сегмента  50%, субтотальный нестабильный стеноз дистального сегмента ПКА, субтотальный стеноз устья крупной ВОК. Антеградный ковоток пропульсивный TIMI I-II</v>
      </c>
    </row>
    <row r="4" spans="1:1">
      <c r="A4" s="207"/>
    </row>
    <row r="5" spans="1:1">
      <c r="A5" s="207"/>
    </row>
    <row r="6" spans="1:1">
      <c r="A6" s="207"/>
    </row>
    <row r="7" spans="1:1">
      <c r="A7" s="207"/>
    </row>
    <row r="8" spans="1:1">
      <c r="A8" s="207"/>
    </row>
    <row r="9" spans="1:1">
      <c r="A9" s="207"/>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C22" sqref="C22"/>
    </sheetView>
  </sheetViews>
  <sheetFormatPr defaultColWidth="0" defaultRowHeight="15" zeroHeight="1"/>
  <cols>
    <col min="1" max="1" width="18.7109375" style="211" customWidth="1"/>
    <col min="2" max="2" width="45.7109375" style="211" customWidth="1"/>
    <col min="3" max="3" width="15.7109375" style="211" customWidth="1"/>
    <col min="4" max="4" width="20.7109375" style="211" customWidth="1"/>
    <col min="5" max="5" width="7.7109375" style="211" bestFit="1" customWidth="1"/>
    <col min="6" max="6" width="10.7109375" style="211" bestFit="1" customWidth="1"/>
    <col min="7" max="8" width="10.7109375" style="211" hidden="1" customWidth="1"/>
    <col min="9" max="13" width="11.7109375" style="211" hidden="1" customWidth="1"/>
    <col min="14" max="16384" width="9.140625" style="211" hidden="1"/>
  </cols>
  <sheetData>
    <row r="1" spans="1:4">
      <c r="A1" s="26"/>
      <c r="B1" s="111"/>
      <c r="C1" s="111"/>
      <c r="D1" s="112"/>
    </row>
    <row r="2" spans="1:4" ht="19.899999999999999" customHeight="1">
      <c r="A2" s="95" t="s">
        <v>98</v>
      </c>
      <c r="B2" s="96">
        <f>$D$10</f>
        <v>45734</v>
      </c>
      <c r="C2" s="151" t="str">
        <f>IF(ЧКВ!A6=Вмешательства!D4,Вмешательства!F20,IF(ЧКВ!A6=Вмешательства!D36,Вмешательства!F20,Вмешательства!F22))</f>
        <v>ОМС</v>
      </c>
      <c r="D2" s="97" t="s">
        <v>99</v>
      </c>
    </row>
    <row r="3" spans="1:4" ht="20.45" customHeight="1">
      <c r="A3" s="98" t="s">
        <v>97</v>
      </c>
      <c r="B3" s="99"/>
      <c r="C3"/>
      <c r="D3" s="38"/>
    </row>
    <row r="4" spans="1:4" ht="16.5" thickBot="1">
      <c r="A4" s="146" t="s">
        <v>195</v>
      </c>
      <c r="B4" s="147" t="s">
        <v>105</v>
      </c>
      <c r="C4" s="148" t="s">
        <v>15</v>
      </c>
      <c r="D4" s="202" t="str">
        <f>КАГ!$B$11</f>
        <v>Тимофеев В.Е.</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20699</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A16.12.028.017</v>
      </c>
      <c r="B6" s="133" t="str">
        <f>ЧКВ!A6</f>
        <v>Попытка стентирования коронарных артерий</v>
      </c>
      <c r="C6" s="130" t="s">
        <v>10</v>
      </c>
      <c r="D6" s="102">
        <f>DATEDIF(D5,D10,"y")</f>
        <v>68</v>
      </c>
    </row>
    <row r="7" spans="1:4">
      <c r="A7" s="37"/>
      <c r="B7"/>
      <c r="C7" s="100" t="s">
        <v>12</v>
      </c>
      <c r="D7" s="102">
        <f>КАГ!$B$14</f>
        <v>7524</v>
      </c>
    </row>
    <row r="8" spans="1:4">
      <c r="A8" s="192" t="str">
        <f>ЧКВ!$A$9</f>
        <v xml:space="preserve">Код модели:  </v>
      </c>
      <c r="B8" s="103"/>
      <c r="C8" s="100" t="s">
        <v>133</v>
      </c>
      <c r="D8" s="102">
        <f>КАГ!$B$15</f>
        <v>35</v>
      </c>
    </row>
    <row r="9" spans="1:4">
      <c r="A9" s="192" t="str">
        <f>ЧКВ!$A$10</f>
        <v xml:space="preserve">Код метода:  </v>
      </c>
      <c r="B9"/>
      <c r="C9" s="104" t="s">
        <v>106</v>
      </c>
      <c r="D9" s="102" t="str">
        <f>КАГ!$B$16</f>
        <v>ОКС с ↑ ST</v>
      </c>
    </row>
    <row r="10" spans="1:4">
      <c r="A10" s="193"/>
      <c r="B10" s="30"/>
      <c r="C10" s="149" t="s">
        <v>13</v>
      </c>
      <c r="D10" s="150">
        <f>КАГ!$B$8</f>
        <v>45734</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5"/>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327</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518</v>
      </c>
      <c r="C15" s="134"/>
      <c r="D15" s="139">
        <v>1</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6" s="153" t="s">
        <v>324</v>
      </c>
      <c r="C16" s="180"/>
      <c r="D16" s="139">
        <v>1</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3" t="s">
        <v>530</v>
      </c>
      <c r="C17" s="134" t="s">
        <v>408</v>
      </c>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
      </c>
      <c r="B18" s="153"/>
      <c r="C18" s="134"/>
      <c r="D18" s="139"/>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c>
      <c r="B19" s="153"/>
      <c r="C19" s="180"/>
      <c r="D19" s="139"/>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c>
      <c r="B20" s="153"/>
      <c r="C20" s="134"/>
      <c r="D20" s="139"/>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4"/>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2"/>
    </row>
    <row r="42" spans="1:4"/>
    <row r="43" spans="1:4"/>
    <row r="44" spans="1:4"/>
    <row r="45" spans="1:4"/>
    <row r="46" spans="1:4"/>
  </sheetData>
  <sheetProtection formatCells="0" formatColumns="0" formatRows="0" sort="0" autoFilter="0"/>
  <phoneticPr fontId="15" type="noConversion"/>
  <dataValidations count="13">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9">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20:B21 B17">
      <formula1>ВЫП.Список_Расходка_9</formula1>
    </dataValidation>
    <dataValidation type="list" allowBlank="1" showInputMessage="1" sqref="B22">
      <formula1>ВЫП.Список_Расходка_10</formula1>
    </dataValidation>
    <dataValidation type="list" allowBlank="1" showInputMessage="1" sqref="B23 B18 B16">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398</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1"/>
      <c r="I10" s="11"/>
      <c r="J10" s="3"/>
      <c r="K10" s="3"/>
      <c r="L10" s="3"/>
      <c r="M10" s="3"/>
      <c r="N10" s="11"/>
      <c r="O10" s="11"/>
      <c r="P10" s="11"/>
      <c r="Q10" s="11"/>
      <c r="R10" s="11"/>
      <c r="S10" s="11"/>
      <c r="T10" s="11"/>
      <c r="V10" t="s">
        <v>224</v>
      </c>
    </row>
    <row r="11" spans="1:23">
      <c r="A11" s="8">
        <v>10</v>
      </c>
      <c r="B11" s="2" t="s">
        <v>19</v>
      </c>
      <c r="C11" s="8" t="s">
        <v>232</v>
      </c>
      <c r="D11" s="5" t="s">
        <v>20</v>
      </c>
      <c r="G11" s="3"/>
      <c r="H11" s="11"/>
      <c r="I11" s="11"/>
      <c r="J11" s="11"/>
      <c r="K11" s="11"/>
      <c r="L11" s="11"/>
      <c r="M11" s="11"/>
      <c r="N11" s="11"/>
      <c r="O11" s="11"/>
      <c r="P11" s="11"/>
      <c r="Q11" s="11"/>
      <c r="R11" s="11"/>
      <c r="S11" s="11"/>
      <c r="T11" s="11"/>
      <c r="V11" t="s">
        <v>216</v>
      </c>
      <c r="W11" s="11"/>
    </row>
    <row r="12" spans="1:23">
      <c r="A12" s="8">
        <v>11</v>
      </c>
      <c r="B12" s="2" t="s">
        <v>21</v>
      </c>
      <c r="C12" s="8" t="s">
        <v>233</v>
      </c>
      <c r="D12" s="5" t="s">
        <v>22</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v>12</v>
      </c>
      <c r="B13" s="2" t="s">
        <v>23</v>
      </c>
      <c r="C13" s="8" t="s">
        <v>234</v>
      </c>
      <c r="D13" s="5" t="s">
        <v>24</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v>13</v>
      </c>
      <c r="B14" s="2" t="s">
        <v>27</v>
      </c>
      <c r="C14" s="8" t="s">
        <v>235</v>
      </c>
      <c r="D14" s="5" t="s">
        <v>28</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v>14</v>
      </c>
      <c r="B15" s="2" t="s">
        <v>29</v>
      </c>
      <c r="C15" s="8" t="s">
        <v>236</v>
      </c>
      <c r="D15" s="5" t="s">
        <v>30</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v>15</v>
      </c>
      <c r="B16" s="2" t="s">
        <v>31</v>
      </c>
      <c r="C16" s="8" t="s">
        <v>237</v>
      </c>
      <c r="D16" s="5" t="s">
        <v>32</v>
      </c>
      <c r="V16" t="s">
        <v>394</v>
      </c>
    </row>
    <row r="17" spans="1:23">
      <c r="A17" s="8">
        <v>16</v>
      </c>
      <c r="B17" s="2" t="s">
        <v>33</v>
      </c>
      <c r="C17" s="8" t="s">
        <v>238</v>
      </c>
      <c r="D17" s="5" t="s">
        <v>34</v>
      </c>
      <c r="F17" t="s">
        <v>486</v>
      </c>
      <c r="V17" t="s">
        <v>395</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304</v>
      </c>
      <c r="J20" s="11"/>
    </row>
    <row r="21" spans="1:23" ht="30">
      <c r="A21" s="8">
        <v>20</v>
      </c>
      <c r="B21" s="2" t="s">
        <v>49</v>
      </c>
      <c r="C21" s="8" t="s">
        <v>50</v>
      </c>
      <c r="D21" s="5" t="s">
        <v>51</v>
      </c>
      <c r="F21" t="s">
        <v>335</v>
      </c>
      <c r="J21" s="11"/>
    </row>
    <row r="22" spans="1:23" ht="30">
      <c r="A22" s="8">
        <v>21</v>
      </c>
      <c r="B22" s="2" t="s">
        <v>52</v>
      </c>
      <c r="C22" s="8" t="s">
        <v>53</v>
      </c>
      <c r="D22" s="5" t="s">
        <v>54</v>
      </c>
      <c r="F22" t="s">
        <v>336</v>
      </c>
      <c r="J22" s="11"/>
      <c r="U22" s="2"/>
    </row>
    <row r="23" spans="1:23">
      <c r="A23" s="8">
        <v>22</v>
      </c>
      <c r="B23" s="2" t="s">
        <v>55</v>
      </c>
      <c r="C23" s="8" t="s">
        <v>56</v>
      </c>
      <c r="D23" s="5" t="s">
        <v>57</v>
      </c>
      <c r="F23" t="s">
        <v>346</v>
      </c>
      <c r="J23" s="11"/>
      <c r="U23" s="2"/>
    </row>
    <row r="24" spans="1:23">
      <c r="A24" s="8">
        <v>23</v>
      </c>
      <c r="B24" s="2" t="s">
        <v>58</v>
      </c>
      <c r="C24" s="8" t="s">
        <v>59</v>
      </c>
      <c r="D24" s="5" t="s">
        <v>60</v>
      </c>
      <c r="F24" t="s">
        <v>501</v>
      </c>
      <c r="H24" s="10"/>
      <c r="K24" s="2"/>
      <c r="U24" s="2"/>
      <c r="W24" s="11"/>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7" t="s">
        <v>244</v>
      </c>
      <c r="D27" s="5" t="s">
        <v>245</v>
      </c>
      <c r="H27" s="10"/>
      <c r="W27" s="10"/>
    </row>
    <row r="28" spans="1:23" ht="45">
      <c r="A28" s="8">
        <v>27</v>
      </c>
      <c r="B28" s="2" t="s">
        <v>68</v>
      </c>
      <c r="C28" s="77" t="s">
        <v>69</v>
      </c>
      <c r="D28" s="5" t="s">
        <v>70</v>
      </c>
      <c r="H28" s="10"/>
      <c r="W28" s="10"/>
    </row>
    <row r="29" spans="1:23" ht="30">
      <c r="A29" s="8">
        <v>28</v>
      </c>
      <c r="B29" s="2" t="s">
        <v>71</v>
      </c>
      <c r="C29" s="77" t="s">
        <v>72</v>
      </c>
      <c r="D29" s="5" t="s">
        <v>73</v>
      </c>
      <c r="H29" s="10"/>
      <c r="W29" s="10"/>
    </row>
    <row r="30" spans="1:23">
      <c r="A30" s="8">
        <v>29</v>
      </c>
      <c r="B30" s="2" t="s">
        <v>74</v>
      </c>
      <c r="C30" s="77" t="s">
        <v>240</v>
      </c>
      <c r="D30" s="5" t="s">
        <v>75</v>
      </c>
      <c r="H30" s="10"/>
      <c r="W30" s="10"/>
    </row>
    <row r="31" spans="1:23">
      <c r="A31" s="8">
        <v>30</v>
      </c>
      <c r="B31" s="2" t="s">
        <v>76</v>
      </c>
      <c r="C31" s="77" t="s">
        <v>239</v>
      </c>
      <c r="D31" s="5" t="s">
        <v>77</v>
      </c>
      <c r="H31" s="10"/>
      <c r="W31" s="10"/>
    </row>
    <row r="32" spans="1:23">
      <c r="A32" s="8">
        <v>31</v>
      </c>
      <c r="B32" s="2" t="s">
        <v>78</v>
      </c>
      <c r="C32" s="77" t="s">
        <v>241</v>
      </c>
      <c r="D32" s="5" t="s">
        <v>79</v>
      </c>
      <c r="H32" s="10"/>
      <c r="W32" s="10"/>
    </row>
    <row r="33" spans="1:23">
      <c r="A33" s="8">
        <v>32</v>
      </c>
      <c r="B33" s="2" t="s">
        <v>81</v>
      </c>
      <c r="C33" s="77" t="s">
        <v>82</v>
      </c>
      <c r="D33" s="5" t="s">
        <v>242</v>
      </c>
      <c r="H33" s="10"/>
      <c r="I33" s="10"/>
      <c r="W33" s="10"/>
    </row>
    <row r="34" spans="1:23">
      <c r="A34" s="8">
        <v>33</v>
      </c>
      <c r="B34" s="2" t="s">
        <v>83</v>
      </c>
      <c r="C34" s="77" t="s">
        <v>84</v>
      </c>
      <c r="D34" s="5" t="s">
        <v>243</v>
      </c>
      <c r="H34" s="10"/>
      <c r="W34" s="10"/>
    </row>
    <row r="35" spans="1:23">
      <c r="A35" s="8">
        <v>34</v>
      </c>
      <c r="B35" s="2"/>
      <c r="C35" s="77"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61" zoomScaleNormal="100" workbookViewId="0">
      <selection activeCell="C82" sqref="C82"/>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hidden="1" customWidth="1" outlineLevel="1"/>
    <col min="11" max="17" width="4.42578125" style="115" hidden="1" customWidth="1" outlineLevel="1"/>
    <col min="18" max="30" width="4.42578125" style="114"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7"/>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1</v>
      </c>
      <c r="K2" s="115">
        <f>IF(ISNUMBER(SEARCH('Карта учёта'!$B$19,Расходка[[#This Row],[Наименование расходного материала]])),MAX($K$1:K1)+1,0)</f>
        <v>1</v>
      </c>
      <c r="L2" s="115">
        <f>IF(ISNUMBER(SEARCH('Карта учёта'!$B$20,Расходка[[#This Row],[Наименование расходного материала]])),MAX($L$1:L1)+1,0)</f>
        <v>1</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JL 4.0</v>
      </c>
      <c r="T2" s="114" t="str">
        <f>IFERROR(INDEX(Расходка[Наименование расходного материала],MATCH(Расходка[[#This Row],[№]],Поиск_расходки[Индекс3],0)),"")</f>
        <v>Abbot Whisper MS</v>
      </c>
      <c r="U2" s="114" t="str">
        <f>IFERROR(INDEX(Расходка[Наименование расходного материала],MATCH(Расходка[[#This Row],[№]],Поиск_расходки[Индекс4],0)),"")</f>
        <v>Launcher 6F EBU 3.5</v>
      </c>
      <c r="V2" s="114" t="str">
        <f>IFERROR(INDEX(Расходка[Наименование расходного материала],MATCH(Расходка[[#This Row],[№]],Поиск_расходки[Индекс5],0)),"")</f>
        <v>Artimes</v>
      </c>
      <c r="W2" s="114" t="str">
        <f>IFERROR(INDEX(Расходка[Наименование расходного материала],MATCH(Расходка[[#This Row],[№]],Поиск_расходки[Индекс6],0)),"")</f>
        <v>Hunter® 6F</v>
      </c>
      <c r="X2" s="114" t="str">
        <f>IFERROR(INDEX(Расходка[Наименование расходного материала],MATCH(Расходка[[#This Row],[№]],Поиск_расходки[Индекс7],0)),"")</f>
        <v>Hunter® 6F</v>
      </c>
      <c r="Y2" s="114" t="str">
        <f>IFERROR(INDEX(Расходка[Наименование расходного материала],MATCH(Расходка[[#This Row],[№]],Поиск_расходки[Индекс8],0)),"")</f>
        <v>Hunter®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5">
        <v>155800</v>
      </c>
      <c r="AN2" s="206" t="s">
        <v>308</v>
      </c>
      <c r="AO2" s="207"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2</v>
      </c>
      <c r="K3" s="115">
        <f>IF(ISNUMBER(SEARCH('Карта учёта'!$B$19,Расходка[[#This Row],[Наименование расходного материала]])),MAX($K$1:K2)+1,0)</f>
        <v>2</v>
      </c>
      <c r="L3" s="115">
        <f>IF(ISNUMBER(SEARCH('Карта учёта'!$B$20,Расходка[[#This Row],[Наименование расходного материала]])),MAX($L$1:L2)+1,0)</f>
        <v>2</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xml:space="preserve">Medtronic Export Advance </v>
      </c>
      <c r="X3" s="114" t="str">
        <f>IFERROR(INDEX(Расходка[Наименование расходного материала],MATCH(Расходка[[#This Row],[№]],Поиск_расходки[Индекс7],0)),"")</f>
        <v xml:space="preserve">Medtronic Export Advance </v>
      </c>
      <c r="Y3" s="114" t="str">
        <f>IFERROR(INDEX(Расходка[Наименование расходного материала],MATCH(Расходка[[#This Row],[№]],Поиск_расходки[Индекс8],0)),"")</f>
        <v xml:space="preserve">Medtronic Export Advance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7">
        <v>218190</v>
      </c>
      <c r="AN3" s="2" t="s">
        <v>487</v>
      </c>
      <c r="AO3" t="s">
        <v>495</v>
      </c>
      <c r="AP3" s="128"/>
    </row>
    <row r="4" spans="1:42">
      <c r="A4">
        <f>ROW(Расходка[[#This Row],[Тип расходного материала ]])-1</f>
        <v>3</v>
      </c>
      <c r="B4" t="s">
        <v>5</v>
      </c>
      <c r="C4" t="s">
        <v>530</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1</v>
      </c>
      <c r="J4" s="115">
        <f>IF(ISNUMBER(SEARCH('Карта учёта'!$B$18,Расходка[[#This Row],[Наименование расходного материала]])),MAX($J$1:J3)+1,0)</f>
        <v>3</v>
      </c>
      <c r="K4" s="115">
        <f>IF(ISNUMBER(SEARCH('Карта учёта'!$B$19,Расходка[[#This Row],[Наименование расходного материала]])),MAX($K$1:K3)+1,0)</f>
        <v>3</v>
      </c>
      <c r="L4" s="115">
        <f>IF(ISNUMBER(SEARCH('Карта учёта'!$B$20,Расходка[[#This Row],[Наименование расходного материала]])),MAX($L$1:L3)+1,0)</f>
        <v>3</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Artimes</v>
      </c>
      <c r="X4" s="114" t="str">
        <f>IFERROR(INDEX(Расходка[Наименование расходного материала],MATCH(Расходка[[#This Row],[№]],Поиск_расходки[Индекс7],0)),"")</f>
        <v>Artimes</v>
      </c>
      <c r="Y4" s="114" t="str">
        <f>IFERROR(INDEX(Расходка[Наименование расходного материала],MATCH(Расходка[[#This Row],[№]],Поиск_расходки[Индекс8],0)),"")</f>
        <v>Artimes</v>
      </c>
      <c r="Z4" s="114" t="str">
        <f>IFERROR(INDEX(Расходка[Наименование расходного материала],MATCH(Расходка[[#This Row],[№]],Поиск_расходки[Индекс9],0)),"")</f>
        <v>Artimes</v>
      </c>
      <c r="AA4" s="114" t="str">
        <f>IFERROR(INDEX(Расходка[Наименование расходного материала],MATCH(Расходка[[#This Row],[№]],Поиск_расходки[Индекс10],0)),"")</f>
        <v>Artimes</v>
      </c>
      <c r="AB4" s="114" t="str">
        <f>IFERROR(INDEX(Расходка[Наименование расходного материала],MATCH(Расходка[[#This Row],[№]],Поиск_расходки[Индекс11],0)),"")</f>
        <v>Artimes</v>
      </c>
      <c r="AC4" s="114" t="str">
        <f>IFERROR(INDEX(Расходка[Наименование расходного материала],MATCH(Расходка[[#This Row],[№]],Поиск_расходки[Индекс12],0)),"")</f>
        <v>Artimes</v>
      </c>
      <c r="AD4" s="114" t="str">
        <f>IFERROR(INDEX(Расходка[Наименование расходного материала],MATCH(Расходка[[#This Row],[№]],Поиск_расходки[Индекс13],0)),"")</f>
        <v>Artimes</v>
      </c>
      <c r="AF4" s="4" t="s">
        <v>5</v>
      </c>
      <c r="AG4" s="4" t="s">
        <v>402</v>
      </c>
      <c r="AI4" t="s">
        <v>190</v>
      </c>
      <c r="AJ4" t="s">
        <v>201</v>
      </c>
      <c r="AK4" t="str">
        <f t="shared" si="0"/>
        <v>Контраст: Оптирей 350</v>
      </c>
      <c r="AM4" s="187">
        <v>337440</v>
      </c>
      <c r="AN4" s="2" t="s">
        <v>500</v>
      </c>
      <c r="AO4" t="s">
        <v>497</v>
      </c>
      <c r="AP4" s="128"/>
    </row>
    <row r="5" spans="1:42">
      <c r="A5">
        <f>ROW(Расходка[[#This Row],[Тип расходного материала ]])-1</f>
        <v>4</v>
      </c>
      <c r="B5" t="s">
        <v>5</v>
      </c>
      <c r="C5" s="1" t="s">
        <v>277</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4</v>
      </c>
      <c r="K5" s="115">
        <f>IF(ISNUMBER(SEARCH('Карта учёта'!$B$19,Расходка[[#This Row],[Наименование расходного материала]])),MAX($K$1:K4)+1,0)</f>
        <v>4</v>
      </c>
      <c r="L5" s="115">
        <f>IF(ISNUMBER(SEARCH('Карта учёта'!$B$20,Расходка[[#This Row],[Наименование расходного материала]])),MAX($L$1:L4)+1,0)</f>
        <v>4</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Euphora</v>
      </c>
      <c r="X5" s="114" t="str">
        <f>IFERROR(INDEX(Расходка[Наименование расходного материала],MATCH(Расходка[[#This Row],[№]],Поиск_расходки[Индекс7],0)),"")</f>
        <v>Euphora</v>
      </c>
      <c r="Y5" s="114" t="str">
        <f>IFERROR(INDEX(Расходка[Наименование расходного материала],MATCH(Расходка[[#This Row],[№]],Поиск_расходки[Индекс8],0)),"")</f>
        <v>Euphora</v>
      </c>
      <c r="Z5" s="114" t="str">
        <f>IFERROR(INDEX(Расходка[Наименование расходного материала],MATCH(Расходка[[#This Row],[№]],Поиск_расходки[Индекс9],0)),"")</f>
        <v>Euphora</v>
      </c>
      <c r="AA5" s="114" t="str">
        <f>IFERROR(INDEX(Расходка[Наименование расходного материала],MATCH(Расходка[[#This Row],[№]],Поиск_расходки[Индекс10],0)),"")</f>
        <v>Euphora</v>
      </c>
      <c r="AB5" s="114" t="str">
        <f>IFERROR(INDEX(Расходка[Наименование расходного материала],MATCH(Расходка[[#This Row],[№]],Поиск_расходки[Индекс11],0)),"")</f>
        <v>Euphora</v>
      </c>
      <c r="AC5" s="114" t="str">
        <f>IFERROR(INDEX(Расходка[Наименование расходного материала],MATCH(Расходка[[#This Row],[№]],Поиск_расходки[Индекс12],0)),"")</f>
        <v>Euphora</v>
      </c>
      <c r="AD5" s="114" t="str">
        <f>IFERROR(INDEX(Расходка[Наименование расходного материала],MATCH(Расходка[[#This Row],[№]],Поиск_расходки[Индекс13],0)),"")</f>
        <v>Euphora</v>
      </c>
      <c r="AF5" s="4" t="s">
        <v>5</v>
      </c>
      <c r="AG5" s="4" t="s">
        <v>403</v>
      </c>
      <c r="AI5" t="s">
        <v>190</v>
      </c>
      <c r="AJ5" t="s">
        <v>202</v>
      </c>
      <c r="AK5" t="str">
        <f t="shared" si="0"/>
        <v>Контраст: Юнигексол 350</v>
      </c>
      <c r="AM5" s="205">
        <v>136170</v>
      </c>
      <c r="AN5" s="206"/>
      <c r="AO5" s="207" t="s">
        <v>496</v>
      </c>
    </row>
    <row r="6" spans="1:42">
      <c r="A6">
        <f>ROW(Расходка[[#This Row],[Тип расходного материала ]])-1</f>
        <v>5</v>
      </c>
      <c r="B6" t="s">
        <v>5</v>
      </c>
      <c r="C6" s="1" t="s">
        <v>531</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5</v>
      </c>
      <c r="K6" s="115">
        <f>IF(ISNUMBER(SEARCH('Карта учёта'!$B$19,Расходка[[#This Row],[Наименование расходного материала]])),MAX($K$1:K5)+1,0)</f>
        <v>5</v>
      </c>
      <c r="L6" s="115">
        <f>IF(ISNUMBER(SEARCH('Карта учёта'!$B$20,Расходка[[#This Row],[Наименование расходного материала]])),MAX($L$1:L5)+1,0)</f>
        <v>5</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NC Apollo</v>
      </c>
      <c r="X6" s="114" t="str">
        <f>IFERROR(INDEX(Расходка[Наименование расходного материала],MATCH(Расходка[[#This Row],[№]],Поиск_расходки[Индекс7],0)),"")</f>
        <v>NC Apollo</v>
      </c>
      <c r="Y6" s="114" t="str">
        <f>IFERROR(INDEX(Расходка[Наименование расходного материала],MATCH(Расходка[[#This Row],[№]],Поиск_расходки[Индекс8],0)),"")</f>
        <v>NC Apollo</v>
      </c>
      <c r="Z6" s="114" t="str">
        <f>IFERROR(INDEX(Расходка[Наименование расходного материала],MATCH(Расходка[[#This Row],[№]],Поиск_расходки[Индекс9],0)),"")</f>
        <v>NC Apollo</v>
      </c>
      <c r="AA6" s="114" t="str">
        <f>IFERROR(INDEX(Расходка[Наименование расходного материала],MATCH(Расходка[[#This Row],[№]],Поиск_расходки[Индекс10],0)),"")</f>
        <v>NC Apollo</v>
      </c>
      <c r="AB6" s="114" t="str">
        <f>IFERROR(INDEX(Расходка[Наименование расходного материала],MATCH(Расходка[[#This Row],[№]],Поиск_расходки[Индекс11],0)),"")</f>
        <v>NC Apollo</v>
      </c>
      <c r="AC6" s="114" t="str">
        <f>IFERROR(INDEX(Расходка[Наименование расходного материала],MATCH(Расходка[[#This Row],[№]],Поиск_расходки[Индекс12],0)),"")</f>
        <v>NC Apollo</v>
      </c>
      <c r="AD6" s="114" t="str">
        <f>IFERROR(INDEX(Расходка[Наименование расходного материала],MATCH(Расходка[[#This Row],[№]],Поиск_расходки[Индекс13],0)),"")</f>
        <v>NC Apollo</v>
      </c>
      <c r="AF6" s="4" t="s">
        <v>5</v>
      </c>
      <c r="AG6" s="4" t="s">
        <v>404</v>
      </c>
      <c r="AI6" t="s">
        <v>190</v>
      </c>
      <c r="AJ6" t="s">
        <v>203</v>
      </c>
      <c r="AK6" t="str">
        <f t="shared" si="0"/>
        <v>Контраст: Сканлюкс 370</v>
      </c>
      <c r="AM6" s="187">
        <v>135820</v>
      </c>
      <c r="AN6" s="2"/>
      <c r="AO6" t="s">
        <v>499</v>
      </c>
    </row>
    <row r="7" spans="1:42">
      <c r="A7">
        <f>ROW(Расходка[[#This Row],[Тип расходного материала ]])-1</f>
        <v>6</v>
      </c>
      <c r="B7" t="s">
        <v>5</v>
      </c>
      <c r="C7" t="s">
        <v>311</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6</v>
      </c>
      <c r="K7" s="115">
        <f>IF(ISNUMBER(SEARCH('Карта учёта'!$B$19,Расходка[[#This Row],[Наименование расходного материала]])),MAX($K$1:K6)+1,0)</f>
        <v>6</v>
      </c>
      <c r="L7" s="115">
        <f>IF(ISNUMBER(SEARCH('Карта учёта'!$B$20,Расходка[[#This Row],[Наименование расходного материала]])),MAX($L$1:L6)+1,0)</f>
        <v>6</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NC Accuforce</v>
      </c>
      <c r="X7" s="114" t="str">
        <f>IFERROR(INDEX(Расходка[Наименование расходного материала],MATCH(Расходка[[#This Row],[№]],Поиск_расходки[Индекс7],0)),"")</f>
        <v>NC Accuforce</v>
      </c>
      <c r="Y7" s="114" t="str">
        <f>IFERROR(INDEX(Расходка[Наименование расходного материала],MATCH(Расходка[[#This Row],[№]],Поиск_расходки[Индекс8],0)),"")</f>
        <v>NC Accuforce</v>
      </c>
      <c r="Z7" s="114" t="str">
        <f>IFERROR(INDEX(Расходка[Наименование расходного материала],MATCH(Расходка[[#This Row],[№]],Поиск_расходки[Индекс9],0)),"")</f>
        <v>NC Accuforce</v>
      </c>
      <c r="AA7" s="114" t="str">
        <f>IFERROR(INDEX(Расходка[Наименование расходного материала],MATCH(Расходка[[#This Row],[№]],Поиск_расходки[Индекс10],0)),"")</f>
        <v>NC Accuforce</v>
      </c>
      <c r="AB7" s="114" t="str">
        <f>IFERROR(INDEX(Расходка[Наименование расходного материала],MATCH(Расходка[[#This Row],[№]],Поиск_расходки[Индекс11],0)),"")</f>
        <v>NC Accuforce</v>
      </c>
      <c r="AC7" s="114" t="str">
        <f>IFERROR(INDEX(Расходка[Наименование расходного материала],MATCH(Расходка[[#This Row],[№]],Поиск_расходки[Индекс12],0)),"")</f>
        <v>NC Accuforce</v>
      </c>
      <c r="AD7" s="114" t="str">
        <f>IFERROR(INDEX(Расходка[Наименование расходного материала],MATCH(Расходка[[#This Row],[№]],Поиск_расходки[Индекс13],0)),"")</f>
        <v>NC Accuforce</v>
      </c>
      <c r="AF7" s="4" t="s">
        <v>5</v>
      </c>
      <c r="AG7" s="4" t="s">
        <v>405</v>
      </c>
      <c r="AI7" t="s">
        <v>190</v>
      </c>
      <c r="AJ7" t="s">
        <v>204</v>
      </c>
      <c r="AK7" t="str">
        <f t="shared" ref="AK7:AK8" si="1">CONCATENATE(AI7,AJ7)</f>
        <v>Контраст: Йогексол 350</v>
      </c>
      <c r="AM7" s="205">
        <v>155760</v>
      </c>
      <c r="AN7" s="206"/>
      <c r="AO7" s="207" t="s">
        <v>493</v>
      </c>
    </row>
    <row r="8" spans="1:42">
      <c r="A8">
        <f>ROW(Расходка[[#This Row],[Тип расходного материала ]])-1</f>
        <v>7</v>
      </c>
      <c r="B8" t="s">
        <v>5</v>
      </c>
      <c r="C8" s="1" t="s">
        <v>306</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7</v>
      </c>
      <c r="K8" s="115">
        <f>IF(ISNUMBER(SEARCH('Карта учёта'!$B$19,Расходка[[#This Row],[Наименование расходного материала]])),MAX($K$1:K7)+1,0)</f>
        <v>7</v>
      </c>
      <c r="L8" s="115">
        <f>IF(ISNUMBER(SEARCH('Карта учёта'!$B$20,Расходка[[#This Row],[Наименование расходного материала]])),MAX($L$1:L7)+1,0)</f>
        <v>7</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NC Euphora</v>
      </c>
      <c r="X8" s="114" t="str">
        <f>IFERROR(INDEX(Расходка[Наименование расходного материала],MATCH(Расходка[[#This Row],[№]],Поиск_расходки[Индекс7],0)),"")</f>
        <v>NC Euphora</v>
      </c>
      <c r="Y8" s="114" t="str">
        <f>IFERROR(INDEX(Расходка[Наименование расходного материала],MATCH(Расходка[[#This Row],[№]],Поиск_расходки[Индекс8],0)),"")</f>
        <v>NC Euphora</v>
      </c>
      <c r="Z8" s="114" t="str">
        <f>IFERROR(INDEX(Расходка[Наименование расходного материала],MATCH(Расходка[[#This Row],[№]],Поиск_расходки[Индекс9],0)),"")</f>
        <v>NC Euphora</v>
      </c>
      <c r="AA8" s="114" t="str">
        <f>IFERROR(INDEX(Расходка[Наименование расходного материала],MATCH(Расходка[[#This Row],[№]],Поиск_расходки[Индекс10],0)),"")</f>
        <v>NC Euphora</v>
      </c>
      <c r="AB8" s="114" t="str">
        <f>IFERROR(INDEX(Расходка[Наименование расходного материала],MATCH(Расходка[[#This Row],[№]],Поиск_расходки[Индекс11],0)),"")</f>
        <v>NC Euphora</v>
      </c>
      <c r="AC8" s="114" t="str">
        <f>IFERROR(INDEX(Расходка[Наименование расходного материала],MATCH(Расходка[[#This Row],[№]],Поиск_расходки[Индекс12],0)),"")</f>
        <v>NC Euphora</v>
      </c>
      <c r="AD8" s="114" t="str">
        <f>IFERROR(INDEX(Расходка[Наименование расходного материала],MATCH(Расходка[[#This Row],[№]],Поиск_расходки[Индекс13],0)),"")</f>
        <v>NC Euphora</v>
      </c>
      <c r="AF8" s="4" t="s">
        <v>5</v>
      </c>
      <c r="AG8" s="4" t="s">
        <v>406</v>
      </c>
      <c r="AI8" t="s">
        <v>190</v>
      </c>
      <c r="AJ8" t="s">
        <v>205</v>
      </c>
      <c r="AK8" t="str">
        <f t="shared" si="1"/>
        <v>Контраст: Визипак 320</v>
      </c>
      <c r="AM8" s="187">
        <v>218140</v>
      </c>
      <c r="AN8" s="2"/>
      <c r="AO8" t="s">
        <v>89</v>
      </c>
    </row>
    <row r="9" spans="1:42">
      <c r="A9">
        <f>ROW(Расходка[[#This Row],[Тип расходного материала ]])-1</f>
        <v>8</v>
      </c>
      <c r="B9" t="s">
        <v>5</v>
      </c>
      <c r="C9" t="s">
        <v>276</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8</v>
      </c>
      <c r="K9" s="115">
        <f>IF(ISNUMBER(SEARCH('Карта учёта'!$B$19,Расходка[[#This Row],[Наименование расходного материала]])),MAX($K$1:K8)+1,0)</f>
        <v>8</v>
      </c>
      <c r="L9" s="115">
        <f>IF(ISNUMBER(SEARCH('Карта учёта'!$B$20,Расходка[[#This Row],[Наименование расходного материала]])),MAX($L$1:L8)+1,0)</f>
        <v>8</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Sapphire</v>
      </c>
      <c r="X9" s="114" t="str">
        <f>IFERROR(INDEX(Расходка[Наименование расходного материала],MATCH(Расходка[[#This Row],[№]],Поиск_расходки[Индекс7],0)),"")</f>
        <v>Sapphire</v>
      </c>
      <c r="Y9" s="114" t="str">
        <f>IFERROR(INDEX(Расходка[Наименование расходного материала],MATCH(Расходка[[#This Row],[№]],Поиск_расходки[Индекс8],0)),"")</f>
        <v>Sapphire</v>
      </c>
      <c r="Z9" s="114" t="str">
        <f>IFERROR(INDEX(Расходка[Наименование расходного материала],MATCH(Расходка[[#This Row],[№]],Поиск_расходки[Индекс9],0)),"")</f>
        <v>Sapphire</v>
      </c>
      <c r="AA9" s="114" t="str">
        <f>IFERROR(INDEX(Расходка[Наименование расходного материала],MATCH(Расходка[[#This Row],[№]],Поиск_расходки[Индекс10],0)),"")</f>
        <v>Sapphire</v>
      </c>
      <c r="AB9" s="114" t="str">
        <f>IFERROR(INDEX(Расходка[Наименование расходного материала],MATCH(Расходка[[#This Row],[№]],Поиск_расходки[Индекс11],0)),"")</f>
        <v>Sapphire</v>
      </c>
      <c r="AC9" s="114" t="str">
        <f>IFERROR(INDEX(Расходка[Наименование расходного материала],MATCH(Расходка[[#This Row],[№]],Поиск_расходки[Индекс12],0)),"")</f>
        <v>Sapphire</v>
      </c>
      <c r="AD9" s="114" t="str">
        <f>IFERROR(INDEX(Расходка[Наименование расходного материала],MATCH(Расходка[[#This Row],[№]],Поиск_расходки[Индекс13],0)),"")</f>
        <v>Sapphire</v>
      </c>
      <c r="AF9" s="4" t="s">
        <v>5</v>
      </c>
      <c r="AG9" s="4" t="s">
        <v>407</v>
      </c>
      <c r="AM9" s="187">
        <v>218160</v>
      </c>
      <c r="AN9" s="2"/>
      <c r="AO9" t="s">
        <v>90</v>
      </c>
    </row>
    <row r="10" spans="1:42">
      <c r="A10">
        <f>ROW(Расходка[[#This Row],[Тип расходного материала ]])-1</f>
        <v>9</v>
      </c>
      <c r="B10" t="s">
        <v>5</v>
      </c>
      <c r="C10" t="s">
        <v>312</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9</v>
      </c>
      <c r="K10" s="115">
        <f>IF(ISNUMBER(SEARCH('Карта учёта'!$B$19,Расходка[[#This Row],[Наименование расходного материала]])),MAX($K$1:K9)+1,0)</f>
        <v>9</v>
      </c>
      <c r="L10" s="115">
        <f>IF(ISNUMBER(SEARCH('Карта учёта'!$B$20,Расходка[[#This Row],[Наименование расходного материала]])),MAX($L$1:L9)+1,0)</f>
        <v>9</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Sprinter Legend</v>
      </c>
      <c r="X10" s="114" t="str">
        <f>IFERROR(INDEX(Расходка[Наименование расходного материала],MATCH(Расходка[[#This Row],[№]],Поиск_расходки[Индекс7],0)),"")</f>
        <v>Sprinter Legend</v>
      </c>
      <c r="Y10" s="114" t="str">
        <f>IFERROR(INDEX(Расходка[Наименование расходного материала],MATCH(Расходка[[#This Row],[№]],Поиск_расходки[Индекс8],0)),"")</f>
        <v>Sprinter Legend</v>
      </c>
      <c r="Z10" s="114" t="str">
        <f>IFERROR(INDEX(Расходка[Наименование расходного материала],MATCH(Расходка[[#This Row],[№]],Поиск_расходки[Индекс9],0)),"")</f>
        <v>Sprinter Legend</v>
      </c>
      <c r="AA10" s="114" t="str">
        <f>IFERROR(INDEX(Расходка[Наименование расходного материала],MATCH(Расходка[[#This Row],[№]],Поиск_расходки[Индекс10],0)),"")</f>
        <v>Sprinter Legend</v>
      </c>
      <c r="AB10" s="114" t="str">
        <f>IFERROR(INDEX(Расходка[Наименование расходного материала],MATCH(Расходка[[#This Row],[№]],Поиск_расходки[Индекс11],0)),"")</f>
        <v>Sprinter Legend</v>
      </c>
      <c r="AC10" s="114" t="str">
        <f>IFERROR(INDEX(Расходка[Наименование расходного материала],MATCH(Расходка[[#This Row],[№]],Поиск_расходки[Индекс12],0)),"")</f>
        <v>Sprinter Legend</v>
      </c>
      <c r="AD10" s="114" t="str">
        <f>IFERROR(INDEX(Расходка[Наименование расходного материала],MATCH(Расходка[[#This Row],[№]],Поиск_расходки[Индекс13],0)),"")</f>
        <v>Sprinter Legend</v>
      </c>
      <c r="AF10" s="4" t="s">
        <v>5</v>
      </c>
      <c r="AG10" s="4" t="s">
        <v>408</v>
      </c>
      <c r="AI10" t="s">
        <v>354</v>
      </c>
      <c r="AM10" s="187">
        <v>194510</v>
      </c>
      <c r="AN10" s="2"/>
      <c r="AO10" t="s">
        <v>91</v>
      </c>
    </row>
    <row r="11" spans="1:42">
      <c r="A11">
        <f>ROW(Расходка[[#This Row],[Тип расходного материала ]])-1</f>
        <v>10</v>
      </c>
      <c r="B11" t="s">
        <v>5</v>
      </c>
      <c r="C11" t="s">
        <v>357</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10</v>
      </c>
      <c r="K11" s="115">
        <f>IF(ISNUMBER(SEARCH('Карта учёта'!$B$19,Расходка[[#This Row],[Наименование расходного материала]])),MAX($K$1:K10)+1,0)</f>
        <v>10</v>
      </c>
      <c r="L11" s="115">
        <f>IF(ISNUMBER(SEARCH('Карта учёта'!$B$20,Расходка[[#This Row],[Наименование расходного материала]])),MAX($L$1:L10)+1,0)</f>
        <v>10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SubMarine Rapido, Invatec</v>
      </c>
      <c r="X11" s="114" t="str">
        <f>IFERROR(INDEX(Расходка[Наименование расходного материала],MATCH(Расходка[[#This Row],[№]],Поиск_расходки[Индекс7],0)),"")</f>
        <v>SubMarine Rapido, Invatec</v>
      </c>
      <c r="Y11" s="114" t="str">
        <f>IFERROR(INDEX(Расходка[Наименование расходного материала],MATCH(Расходка[[#This Row],[№]],Поиск_расходки[Индекс8],0)),"")</f>
        <v>SubMarine Rapido, Invatec</v>
      </c>
      <c r="Z11" s="114" t="str">
        <f>IFERROR(INDEX(Расходка[Наименование расходного материала],MATCH(Расходка[[#This Row],[№]],Поиск_расходки[Индекс9],0)),"")</f>
        <v>SubMarine Rapido, Invatec</v>
      </c>
      <c r="AA11" s="114" t="str">
        <f>IFERROR(INDEX(Расходка[Наименование расходного материала],MATCH(Расходка[[#This Row],[№]],Поиск_расходки[Индекс10],0)),"")</f>
        <v>SubMarine Rapido, Invatec</v>
      </c>
      <c r="AB11" s="114" t="str">
        <f>IFERROR(INDEX(Расходка[Наименование расходного материала],MATCH(Расходка[[#This Row],[№]],Поиск_расходки[Индекс11],0)),"")</f>
        <v>SubMarine Rapido, Invatec</v>
      </c>
      <c r="AC11" s="114" t="str">
        <f>IFERROR(INDEX(Расходка[Наименование расходного материала],MATCH(Расходка[[#This Row],[№]],Поиск_расходки[Индекс12],0)),"")</f>
        <v>SubMarine Rapido, Invatec</v>
      </c>
      <c r="AD11" s="114" t="str">
        <f>IFERROR(INDEX(Расходка[Наименование расходного материала],MATCH(Расходка[[#This Row],[№]],Поиск_расходки[Индекс13],0)),"")</f>
        <v>SubMarine Rapido, Invatec</v>
      </c>
      <c r="AF11" s="4" t="s">
        <v>5</v>
      </c>
      <c r="AG11" s="4" t="s">
        <v>409</v>
      </c>
      <c r="AI11" t="s">
        <v>4</v>
      </c>
      <c r="AM11" s="187">
        <v>323500</v>
      </c>
      <c r="AN11" s="2"/>
      <c r="AO11" t="s">
        <v>92</v>
      </c>
    </row>
    <row r="12" spans="1:42">
      <c r="A12">
        <f>ROW(Расходка[[#This Row],[Тип расходного материала ]])-1</f>
        <v>11</v>
      </c>
      <c r="B12" t="s">
        <v>5</v>
      </c>
      <c r="C12" t="s">
        <v>373</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11</v>
      </c>
      <c r="K12" s="115">
        <f>IF(ISNUMBER(SEARCH('Карта учёта'!$B$19,Расходка[[#This Row],[Наименование расходного материала]])),MAX($K$1:K11)+1,0)</f>
        <v>11</v>
      </c>
      <c r="L12" s="115">
        <f>IF(ISNUMBER(SEARCH('Карта учёта'!$B$20,Расходка[[#This Row],[Наименование расходного материала]])),MAX($L$1:L11)+1,0)</f>
        <v>11</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Колибри</v>
      </c>
      <c r="X12" s="114" t="str">
        <f>IFERROR(INDEX(Расходка[Наименование расходного материала],MATCH(Расходка[[#This Row],[№]],Поиск_расходки[Индекс7],0)),"")</f>
        <v>Колибри</v>
      </c>
      <c r="Y12" s="114" t="str">
        <f>IFERROR(INDEX(Расходка[Наименование расходного материала],MATCH(Расходка[[#This Row],[№]],Поиск_расходки[Индекс8],0)),"")</f>
        <v>Колибри</v>
      </c>
      <c r="Z12" s="114" t="str">
        <f>IFERROR(INDEX(Расходка[Наименование расходного материала],MATCH(Расходка[[#This Row],[№]],Поиск_расходки[Индекс9],0)),"")</f>
        <v>Колибри</v>
      </c>
      <c r="AA12" s="114" t="str">
        <f>IFERROR(INDEX(Расходка[Наименование расходного материала],MATCH(Расходка[[#This Row],[№]],Поиск_расходки[Индекс10],0)),"")</f>
        <v>Колибри</v>
      </c>
      <c r="AB12" s="114" t="str">
        <f>IFERROR(INDEX(Расходка[Наименование расходного материала],MATCH(Расходка[[#This Row],[№]],Поиск_расходки[Индекс11],0)),"")</f>
        <v>Колибри</v>
      </c>
      <c r="AC12" s="114" t="str">
        <f>IFERROR(INDEX(Расходка[Наименование расходного материала],MATCH(Расходка[[#This Row],[№]],Поиск_расходки[Индекс12],0)),"")</f>
        <v>Колибри</v>
      </c>
      <c r="AD12" s="114" t="str">
        <f>IFERROR(INDEX(Расходка[Наименование расходного материала],MATCH(Расходка[[#This Row],[№]],Поиск_расходки[Индекс13],0)),"")</f>
        <v>Колибри</v>
      </c>
      <c r="AF12" s="4" t="s">
        <v>5</v>
      </c>
      <c r="AG12" s="4" t="s">
        <v>410</v>
      </c>
      <c r="AI12" t="s">
        <v>3</v>
      </c>
      <c r="AM12" s="187">
        <v>323510</v>
      </c>
      <c r="AN12" s="2"/>
      <c r="AO12" t="s">
        <v>93</v>
      </c>
    </row>
    <row r="13" spans="1:42">
      <c r="A13">
        <f>ROW(Расходка[[#This Row],[Тип расходного материала ]])-1</f>
        <v>12</v>
      </c>
      <c r="B13" t="s">
        <v>5</v>
      </c>
      <c r="C13" t="s">
        <v>396</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12</v>
      </c>
      <c r="K13" s="115">
        <f>IF(ISNUMBER(SEARCH('Карта учёта'!$B$19,Расходка[[#This Row],[Наименование расходного материала]])),MAX($K$1:K12)+1,0)</f>
        <v>12</v>
      </c>
      <c r="L13" s="115">
        <f>IF(ISNUMBER(SEARCH('Карта учёта'!$B$20,Расходка[[#This Row],[Наименование расходного материала]])),MAX($L$1:L12)+1,0)</f>
        <v>12</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xml:space="preserve">NC Колибри </v>
      </c>
      <c r="X13" s="114" t="str">
        <f>IFERROR(INDEX(Расходка[Наименование расходного материала],MATCH(Расходка[[#This Row],[№]],Поиск_расходки[Индекс7],0)),"")</f>
        <v xml:space="preserve">NC Колибри </v>
      </c>
      <c r="Y13" s="114" t="str">
        <f>IFERROR(INDEX(Расходка[Наименование расходного материала],MATCH(Расходка[[#This Row],[№]],Поиск_расходки[Индекс8],0)),"")</f>
        <v xml:space="preserve">NC Колибри </v>
      </c>
      <c r="Z13" s="114" t="str">
        <f>IFERROR(INDEX(Расходка[Наименование расходного материала],MATCH(Расходка[[#This Row],[№]],Поиск_расходки[Индекс9],0)),"")</f>
        <v xml:space="preserve">NC Колибри </v>
      </c>
      <c r="AA13" s="114" t="str">
        <f>IFERROR(INDEX(Расходка[Наименование расходного материала],MATCH(Расходка[[#This Row],[№]],Поиск_расходки[Индекс10],0)),"")</f>
        <v xml:space="preserve">NC Колибри </v>
      </c>
      <c r="AB13" s="114" t="str">
        <f>IFERROR(INDEX(Расходка[Наименование расходного материала],MATCH(Расходка[[#This Row],[№]],Поиск_расходки[Индекс11],0)),"")</f>
        <v xml:space="preserve">NC Колибри </v>
      </c>
      <c r="AC13" s="114" t="str">
        <f>IFERROR(INDEX(Расходка[Наименование расходного материала],MATCH(Расходка[[#This Row],[№]],Поиск_расходки[Индекс12],0)),"")</f>
        <v xml:space="preserve">NC Колибри </v>
      </c>
      <c r="AD13" s="114" t="str">
        <f>IFERROR(INDEX(Расходка[Наименование расходного материала],MATCH(Расходка[[#This Row],[№]],Поиск_расходки[Индекс13],0)),"")</f>
        <v xml:space="preserve">NC Колибри </v>
      </c>
      <c r="AF13" s="4" t="s">
        <v>5</v>
      </c>
      <c r="AG13" s="4" t="s">
        <v>411</v>
      </c>
      <c r="AI13" t="s">
        <v>6</v>
      </c>
      <c r="AN13" s="2"/>
    </row>
    <row r="14" spans="1:42">
      <c r="A14">
        <f>ROW(Расходка[[#This Row],[Тип расходного материала ]])-1</f>
        <v>13</v>
      </c>
      <c r="B14" t="s">
        <v>5</v>
      </c>
      <c r="C14" t="s">
        <v>512</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13</v>
      </c>
      <c r="K14" s="115">
        <f>IF(ISNUMBER(SEARCH('Карта учёта'!$B$19,Расходка[[#This Row],[Наименование расходного материала]])),MAX($K$1:K13)+1,0)</f>
        <v>13</v>
      </c>
      <c r="L14" s="115">
        <f>IF(ISNUMBER(SEARCH('Карта учёта'!$B$20,Расходка[[#This Row],[Наименование расходного материала]])),MAX($L$1:L13)+1,0)</f>
        <v>13</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NC АКСИОМА</v>
      </c>
      <c r="X14" s="114" t="str">
        <f>IFERROR(INDEX(Расходка[Наименование расходного материала],MATCH(Расходка[[#This Row],[№]],Поиск_расходки[Индекс7],0)),"")</f>
        <v>NC АКСИОМА</v>
      </c>
      <c r="Y14" s="114" t="str">
        <f>IFERROR(INDEX(Расходка[Наименование расходного материала],MATCH(Расходка[[#This Row],[№]],Поиск_расходки[Индекс8],0)),"")</f>
        <v>NC АКСИОМА</v>
      </c>
      <c r="Z14" s="114" t="str">
        <f>IFERROR(INDEX(Расходка[Наименование расходного материала],MATCH(Расходка[[#This Row],[№]],Поиск_расходки[Индекс9],0)),"")</f>
        <v>NC АКСИОМА</v>
      </c>
      <c r="AA14" s="114" t="str">
        <f>IFERROR(INDEX(Расходка[Наименование расходного материала],MATCH(Расходка[[#This Row],[№]],Поиск_расходки[Индекс10],0)),"")</f>
        <v>NC АКСИОМА</v>
      </c>
      <c r="AB14" s="114" t="str">
        <f>IFERROR(INDEX(Расходка[Наименование расходного материала],MATCH(Расходка[[#This Row],[№]],Поиск_расходки[Индекс11],0)),"")</f>
        <v>NC АКСИОМА</v>
      </c>
      <c r="AC14" s="114" t="str">
        <f>IFERROR(INDEX(Расходка[Наименование расходного материала],MATCH(Расходка[[#This Row],[№]],Поиск_расходки[Индекс12],0)),"")</f>
        <v>NC АКСИОМА</v>
      </c>
      <c r="AD14" s="114" t="str">
        <f>IFERROR(INDEX(Расходка[Наименование расходного материала],MATCH(Расходка[[#This Row],[№]],Поиск_расходки[Индекс13],0)),"")</f>
        <v>NC АКСИОМА</v>
      </c>
      <c r="AF14" s="4" t="s">
        <v>5</v>
      </c>
      <c r="AG14" s="4" t="s">
        <v>490</v>
      </c>
      <c r="AI14" t="s">
        <v>5</v>
      </c>
      <c r="AM14" s="187"/>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14</v>
      </c>
      <c r="K15" s="115">
        <f>IF(ISNUMBER(SEARCH('Карта учёта'!$B$19,Расходка[[#This Row],[Наименование расходного материала]])),MAX($K$1:K14)+1,0)</f>
        <v>14</v>
      </c>
      <c r="L15" s="115">
        <f>IF(ISNUMBER(SEARCH('Карта учёта'!$B$20,Расходка[[#This Row],[Наименование расходного материала]])),MAX($L$1:L14)+1,0)</f>
        <v>14</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Nitrex 260</v>
      </c>
      <c r="X15" s="114" t="str">
        <f>IFERROR(INDEX(Расходка[Наименование расходного материала],MATCH(Расходка[[#This Row],[№]],Поиск_расходки[Индекс7],0)),"")</f>
        <v>Nitrex 260</v>
      </c>
      <c r="Y15" s="114" t="str">
        <f>IFERROR(INDEX(Расходка[Наименование расходного материала],MATCH(Расходка[[#This Row],[№]],Поиск_расходки[Индекс8],0)),"")</f>
        <v>Nitrex 260</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15</v>
      </c>
      <c r="K16" s="115">
        <f>IF(ISNUMBER(SEARCH('Карта учёта'!$B$19,Расходка[[#This Row],[Наименование расходного материала]])),MAX($K$1:K15)+1,0)</f>
        <v>15</v>
      </c>
      <c r="L16" s="115">
        <f>IF(ISNUMBER(SEARCH('Карта учёта'!$B$20,Расходка[[#This Row],[Наименование расходного материала]])),MAX($L$1:L15)+1,0)</f>
        <v>15</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RadiFocus</v>
      </c>
      <c r="X16" s="114" t="str">
        <f>IFERROR(INDEX(Расходка[Наименование расходного материала],MATCH(Расходка[[#This Row],[№]],Поиск_расходки[Индекс7],0)),"")</f>
        <v>RadiFocus</v>
      </c>
      <c r="Y16" s="114" t="str">
        <f>IFERROR(INDEX(Расходка[Наименование расходного материала],MATCH(Расходка[[#This Row],[№]],Поиск_расходки[Индекс8],0)),"")</f>
        <v>RadiFocus</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16</v>
      </c>
      <c r="K17" s="115">
        <f>IF(ISNUMBER(SEARCH('Карта учёта'!$B$19,Расходка[[#This Row],[Наименование расходного материала]])),MAX($K$1:K16)+1,0)</f>
        <v>16</v>
      </c>
      <c r="L17" s="115">
        <f>IF(ISNUMBER(SEARCH('Карта учёта'!$B$20,Расходка[[#This Row],[Наименование расходного материала]])),MAX($L$1:L16)+1,0)</f>
        <v>16</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BasixCOMPAK</v>
      </c>
      <c r="X17" s="114" t="str">
        <f>IFERROR(INDEX(Расходка[Наименование расходного материала],MATCH(Расходка[[#This Row],[№]],Поиск_расходки[Индекс7],0)),"")</f>
        <v>BasixCOMPAK</v>
      </c>
      <c r="Y17" s="114" t="str">
        <f>IFERROR(INDEX(Расходка[Наименование расходного материала],MATCH(Расходка[[#This Row],[№]],Поиск_расходки[Индекс8],0)),"")</f>
        <v>BasixCOMPAK</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17</v>
      </c>
      <c r="K18" s="115">
        <f>IF(ISNUMBER(SEARCH('Карта учёта'!$B$19,Расходка[[#This Row],[Наименование расходного материала]])),MAX($K$1:K17)+1,0)</f>
        <v>17</v>
      </c>
      <c r="L18" s="115">
        <f>IF(ISNUMBER(SEARCH('Карта учёта'!$B$20,Расходка[[#This Row],[Наименование расходного материала]])),MAX($L$1:L17)+1,0)</f>
        <v>17</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BasixTOUCH</v>
      </c>
      <c r="X18" s="114" t="str">
        <f>IFERROR(INDEX(Расходка[Наименование расходного материала],MATCH(Расходка[[#This Row],[№]],Поиск_расходки[Индекс7],0)),"")</f>
        <v>BasixTOUCH</v>
      </c>
      <c r="Y18" s="114" t="str">
        <f>IFERROR(INDEX(Расходка[Наименование расходного материала],MATCH(Расходка[[#This Row],[№]],Поиск_расходки[Индекс8],0)),"")</f>
        <v>BasixTOUCH</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18</v>
      </c>
      <c r="K19" s="115">
        <f>IF(ISNUMBER(SEARCH('Карта учёта'!$B$19,Расходка[[#This Row],[Наименование расходного материала]])),MAX($K$1:K18)+1,0)</f>
        <v>18</v>
      </c>
      <c r="L19" s="115">
        <f>IF(ISNUMBER(SEARCH('Карта учёта'!$B$20,Расходка[[#This Row],[Наименование расходного материала]])),MAX($L$1:L18)+1,0)</f>
        <v>18</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Dolphin</v>
      </c>
      <c r="X19" s="114" t="str">
        <f>IFERROR(INDEX(Расходка[Наименование расходного материала],MATCH(Расходка[[#This Row],[№]],Поиск_расходки[Индекс7],0)),"")</f>
        <v>Dolphin</v>
      </c>
      <c r="Y19" s="114" t="str">
        <f>IFERROR(INDEX(Расходка[Наименование расходного материала],MATCH(Расходка[[#This Row],[№]],Поиск_расходки[Индекс8],0)),"")</f>
        <v>Dolphin</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19</v>
      </c>
      <c r="K20" s="115">
        <f>IF(ISNUMBER(SEARCH('Карта учёта'!$B$19,Расходка[[#This Row],[Наименование расходного материала]])),MAX($K$1:K19)+1,0)</f>
        <v>19</v>
      </c>
      <c r="L20" s="115">
        <f>IF(ISNUMBER(SEARCH('Карта учёта'!$B$20,Расходка[[#This Row],[Наименование расходного материала]])),MAX($L$1:L19)+1,0)</f>
        <v>19</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Lepu Medical</v>
      </c>
      <c r="X20" s="114" t="str">
        <f>IFERROR(INDEX(Расходка[Наименование расходного материала],MATCH(Расходка[[#This Row],[№]],Поиск_расходки[Индекс7],0)),"")</f>
        <v>Lepu Medical</v>
      </c>
      <c r="Y20" s="114" t="str">
        <f>IFERROR(INDEX(Расходка[Наименование расходного материала],MATCH(Расходка[[#This Row],[№]],Поиск_расходки[Индекс8],0)),"")</f>
        <v>Lepu Medical</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20</v>
      </c>
      <c r="K21" s="115">
        <f>IF(ISNUMBER(SEARCH('Карта учёта'!$B$19,Расходка[[#This Row],[Наименование расходного материала]])),MAX($K$1:K20)+1,0)</f>
        <v>20</v>
      </c>
      <c r="L21" s="115">
        <f>IF(ISNUMBER(SEARCH('Карта учёта'!$B$20,Расходка[[#This Row],[Наименование расходного материала]])),MAX($L$1:L20)+1,0)</f>
        <v>20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Perouse Medical FLAMINGO</v>
      </c>
      <c r="X21" s="114" t="str">
        <f>IFERROR(INDEX(Расходка[Наименование расходного материала],MATCH(Расходка[[#This Row],[№]],Поиск_расходки[Индекс7],0)),"")</f>
        <v>Perouse Medical FLAMINGO</v>
      </c>
      <c r="Y21" s="114" t="str">
        <f>IFERROR(INDEX(Расходка[Наименование расходного материала],MATCH(Расходка[[#This Row],[№]],Поиск_расходки[Индекс8],0)),"")</f>
        <v>Perouse Medical FLAMINGO</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21</v>
      </c>
      <c r="K22" s="115">
        <f>IF(ISNUMBER(SEARCH('Карта учёта'!$B$19,Расходка[[#This Row],[Наименование расходного материала]])),MAX($K$1:K21)+1,0)</f>
        <v>21</v>
      </c>
      <c r="L22" s="115">
        <f>IF(ISNUMBER(SEARCH('Карта учёта'!$B$20,Расходка[[#This Row],[Наименование расходного материала]])),MAX($L$1:L21)+1,0)</f>
        <v>21</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Demax</v>
      </c>
      <c r="X22" s="114" t="str">
        <f>IFERROR(INDEX(Расходка[Наименование расходного материала],MATCH(Расходка[[#This Row],[№]],Поиск_расходки[Индекс7],0)),"")</f>
        <v>Demax</v>
      </c>
      <c r="Y22" s="114" t="str">
        <f>IFERROR(INDEX(Расходка[Наименование расходного материала],MATCH(Расходка[[#This Row],[№]],Поиск_расходки[Индекс8],0)),"")</f>
        <v>Demax</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22</v>
      </c>
      <c r="K23" s="115">
        <f>IF(ISNUMBER(SEARCH('Карта учёта'!$B$19,Расходка[[#This Row],[Наименование расходного материала]])),MAX($K$1:K22)+1,0)</f>
        <v>22</v>
      </c>
      <c r="L23" s="115">
        <f>IF(ISNUMBER(SEARCH('Карта учёта'!$B$20,Расходка[[#This Row],[Наименование расходного материала]])),MAX($L$1:L22)+1,0)</f>
        <v>22</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Oscor 7F</v>
      </c>
      <c r="X23" s="114" t="str">
        <f>IFERROR(INDEX(Расходка[Наименование расходного материала],MATCH(Расходка[[#This Row],[№]],Поиск_расходки[Индекс7],0)),"")</f>
        <v>Oscor 7F</v>
      </c>
      <c r="Y23" s="114" t="str">
        <f>IFERROR(INDEX(Расходка[Наименование расходного материала],MATCH(Расходка[[#This Row],[№]],Поиск_расходки[Индекс8],0)),"")</f>
        <v>Oscor 7F</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23</v>
      </c>
      <c r="K24" s="115">
        <f>IF(ISNUMBER(SEARCH('Карта учёта'!$B$19,Расходка[[#This Row],[Наименование расходного материала]])),MAX($K$1:K23)+1,0)</f>
        <v>23</v>
      </c>
      <c r="L24" s="115">
        <f>IF(ISNUMBER(SEARCH('Карта учёта'!$B$20,Расходка[[#This Row],[Наименование расходного материала]])),MAX($L$1:L23)+1,0)</f>
        <v>23</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"МИМ". Тюмень</v>
      </c>
      <c r="X24" s="114" t="str">
        <f>IFERROR(INDEX(Расходка[Наименование расходного материала],MATCH(Расходка[[#This Row],[№]],Поиск_расходки[Индекс7],0)),"")</f>
        <v>"МИМ". Тюмень</v>
      </c>
      <c r="Y24" s="114" t="str">
        <f>IFERROR(INDEX(Расходка[Наименование расходного материала],MATCH(Расходка[[#This Row],[№]],Поиск_расходки[Индекс8],0)),"")</f>
        <v>"МИМ". Тюмень</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24</v>
      </c>
      <c r="K25" s="115">
        <f>IF(ISNUMBER(SEARCH('Карта учёта'!$B$19,Расходка[[#This Row],[Наименование расходного материала]])),MAX($K$1:K24)+1,0)</f>
        <v>24</v>
      </c>
      <c r="L25" s="115">
        <f>IF(ISNUMBER(SEARCH('Карта учёта'!$B$20,Расходка[[#This Row],[Наименование расходного материала]])),MAX($L$1:L24)+1,0)</f>
        <v>24</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Поток CTЗ по ТУ</v>
      </c>
      <c r="X25" s="114" t="str">
        <f>IFERROR(INDEX(Расходка[Наименование расходного материала],MATCH(Расходка[[#This Row],[№]],Поиск_расходки[Индекс7],0)),"")</f>
        <v>Поток CTЗ по ТУ</v>
      </c>
      <c r="Y25" s="114" t="str">
        <f>IFERROR(INDEX(Расходка[Наименование расходного материала],MATCH(Расходка[[#This Row],[№]],Поиск_расходки[Индекс8],0)),"")</f>
        <v>Поток CTЗ по ТУ</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1</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25</v>
      </c>
      <c r="K26" s="115">
        <f>IF(ISNUMBER(SEARCH('Карта учёта'!$B$19,Расходка[[#This Row],[Наименование расходного материала]])),MAX($K$1:K25)+1,0)</f>
        <v>25</v>
      </c>
      <c r="L26" s="115">
        <f>IF(ISNUMBER(SEARCH('Карта учёта'!$B$20,Расходка[[#This Row],[Наименование расходного материала]])),MAX($L$1:L25)+1,0)</f>
        <v>25</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Индефлятор</v>
      </c>
      <c r="X26" s="114" t="str">
        <f>IFERROR(INDEX(Расходка[Наименование расходного материала],MATCH(Расходка[[#This Row],[№]],Поиск_расходки[Индекс7],0)),"")</f>
        <v>Индефлятор</v>
      </c>
      <c r="Y26" s="114" t="str">
        <f>IFERROR(INDEX(Расходка[Наименование расходного материала],MATCH(Расходка[[#This Row],[№]],Поиск_расходки[Индекс8],0)),"")</f>
        <v>Индефлятор</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26</v>
      </c>
      <c r="K27" s="115">
        <f>IF(ISNUMBER(SEARCH('Карта учёта'!$B$19,Расходка[[#This Row],[Наименование расходного материала]])),MAX($K$1:K26)+1,0)</f>
        <v>26</v>
      </c>
      <c r="L27" s="115">
        <f>IF(ISNUMBER(SEARCH('Карта учёта'!$B$20,Расходка[[#This Row],[Наименование расходного материала]])),MAX($L$1:L26)+1,0)</f>
        <v>26</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Cougar LS Hydro-Track®</v>
      </c>
      <c r="X27" s="114" t="str">
        <f>IFERROR(INDEX(Расходка[Наименование расходного материала],MATCH(Расходка[[#This Row],[№]],Поиск_расходки[Индекс7],0)),"")</f>
        <v>Cougar LS Hydro-Track®</v>
      </c>
      <c r="Y27" s="114" t="str">
        <f>IFERROR(INDEX(Расходка[Наименование расходного материала],MATCH(Расходка[[#This Row],[№]],Поиск_расходки[Индекс8],0)),"")</f>
        <v>Cougar LS Hydro-Track®</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27</v>
      </c>
      <c r="K28" s="115">
        <f>IF(ISNUMBER(SEARCH('Карта учёта'!$B$19,Расходка[[#This Row],[Наименование расходного материала]])),MAX($K$1:K27)+1,0)</f>
        <v>27</v>
      </c>
      <c r="L28" s="115">
        <f>IF(ISNUMBER(SEARCH('Карта учёта'!$B$20,Расходка[[#This Row],[Наименование расходного материала]])),MAX($L$1:L27)+1,0)</f>
        <v>27</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Cougar XT Hydro-Track®</v>
      </c>
      <c r="X28" s="114" t="str">
        <f>IFERROR(INDEX(Расходка[Наименование расходного материала],MATCH(Расходка[[#This Row],[№]],Поиск_расходки[Индекс7],0)),"")</f>
        <v>Cougar XT Hydro-Track®</v>
      </c>
      <c r="Y28" s="114" t="str">
        <f>IFERROR(INDEX(Расходка[Наименование расходного материала],MATCH(Расходка[[#This Row],[№]],Поиск_расходки[Индекс8],0)),"")</f>
        <v>Cougar XT Hydro-Track®</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28</v>
      </c>
      <c r="K29" s="115">
        <f>IF(ISNUMBER(SEARCH('Карта учёта'!$B$19,Расходка[[#This Row],[Наименование расходного материала]])),MAX($K$1:K28)+1,0)</f>
        <v>28</v>
      </c>
      <c r="L29" s="115">
        <f>IF(ISNUMBER(SEARCH('Карта учёта'!$B$20,Расходка[[#This Row],[Наименование расходного материала]])),MAX($L$1:L28)+1,0)</f>
        <v>28</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Fielder</v>
      </c>
      <c r="X29" s="114" t="str">
        <f>IFERROR(INDEX(Расходка[Наименование расходного материала],MATCH(Расходка[[#This Row],[№]],Поиск_расходки[Индекс7],0)),"")</f>
        <v>Fielder</v>
      </c>
      <c r="Y29" s="114" t="str">
        <f>IFERROR(INDEX(Расходка[Наименование расходного материала],MATCH(Расходка[[#This Row],[№]],Поиск_расходки[Индекс8],0)),"")</f>
        <v>Fielder</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29</v>
      </c>
      <c r="K30" s="115">
        <f>IF(ISNUMBER(SEARCH('Карта учёта'!$B$19,Расходка[[#This Row],[Наименование расходного материала]])),MAX($K$1:K29)+1,0)</f>
        <v>29</v>
      </c>
      <c r="L30" s="115">
        <f>IF(ISNUMBER(SEARCH('Карта учёта'!$B$20,Расходка[[#This Row],[Наименование расходного материала]])),MAX($L$1:L29)+1,0)</f>
        <v>29</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Fielder XT-A</v>
      </c>
      <c r="X30" s="114" t="str">
        <f>IFERROR(INDEX(Расходка[Наименование расходного материала],MATCH(Расходка[[#This Row],[№]],Поиск_расходки[Индекс7],0)),"")</f>
        <v>Fielder XT-A</v>
      </c>
      <c r="Y30" s="114" t="str">
        <f>IFERROR(INDEX(Расходка[Наименование расходного материала],MATCH(Расходка[[#This Row],[№]],Поиск_расходки[Индекс8],0)),"")</f>
        <v>Fielder XT-A</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30</v>
      </c>
      <c r="K31" s="115">
        <f>IF(ISNUMBER(SEARCH('Карта учёта'!$B$19,Расходка[[#This Row],[Наименование расходного материала]])),MAX($K$1:K30)+1,0)</f>
        <v>30</v>
      </c>
      <c r="L31" s="115">
        <f>IF(ISNUMBER(SEARCH('Карта учёта'!$B$20,Расходка[[#This Row],[Наименование расходного материала]])),MAX($L$1:L30)+1,0)</f>
        <v>30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Fielder XT-R</v>
      </c>
      <c r="X31" s="114" t="str">
        <f>IFERROR(INDEX(Расходка[Наименование расходного материала],MATCH(Расходка[[#This Row],[№]],Поиск_расходки[Индекс7],0)),"")</f>
        <v>Fielder XT-R</v>
      </c>
      <c r="Y31" s="114" t="str">
        <f>IFERROR(INDEX(Расходка[Наименование расходного материала],MATCH(Расходка[[#This Row],[№]],Поиск_расходки[Индекс8],0)),"")</f>
        <v>Fielder XT-R</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31</v>
      </c>
      <c r="K32" s="115">
        <f>IF(ISNUMBER(SEARCH('Карта учёта'!$B$19,Расходка[[#This Row],[Наименование расходного материала]])),MAX($K$1:K31)+1,0)</f>
        <v>31</v>
      </c>
      <c r="L32" s="115">
        <f>IF(ISNUMBER(SEARCH('Карта учёта'!$B$20,Расходка[[#This Row],[Наименование расходного материала]])),MAX($L$1:L31)+1,0)</f>
        <v>31</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Asahi Gaia First</v>
      </c>
      <c r="X32" s="114" t="str">
        <f>IFERROR(INDEX(Расходка[Наименование расходного материала],MATCH(Расходка[[#This Row],[№]],Поиск_расходки[Индекс7],0)),"")</f>
        <v>Asahi Gaia First</v>
      </c>
      <c r="Y32" s="114" t="str">
        <f>IFERROR(INDEX(Расходка[Наименование расходного материала],MATCH(Расходка[[#This Row],[№]],Поиск_расходки[Индекс8],0)),"")</f>
        <v>Asahi Gaia First</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32</v>
      </c>
      <c r="K33" s="115">
        <f>IF(ISNUMBER(SEARCH('Карта учёта'!$B$19,Расходка[[#This Row],[Наименование расходного материала]])),MAX($K$1:K32)+1,0)</f>
        <v>32</v>
      </c>
      <c r="L33" s="115">
        <f>IF(ISNUMBER(SEARCH('Карта учёта'!$B$20,Расходка[[#This Row],[Наименование расходного материала]])),MAX($L$1:L32)+1,0)</f>
        <v>32</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Asahi Gaia Second</v>
      </c>
      <c r="X33" s="114" t="str">
        <f>IFERROR(INDEX(Расходка[Наименование расходного материала],MATCH(Расходка[[#This Row],[№]],Поиск_расходки[Индекс7],0)),"")</f>
        <v>Asahi Gaia Second</v>
      </c>
      <c r="Y33" s="114" t="str">
        <f>IFERROR(INDEX(Расходка[Наименование расходного материала],MATCH(Расходка[[#This Row],[№]],Поиск_расходки[Индекс8],0)),"")</f>
        <v>Asahi Gaia Second</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33</v>
      </c>
      <c r="K34" s="115">
        <f>IF(ISNUMBER(SEARCH('Карта учёта'!$B$19,Расходка[[#This Row],[Наименование расходного материала]])),MAX($K$1:K33)+1,0)</f>
        <v>33</v>
      </c>
      <c r="L34" s="115">
        <f>IF(ISNUMBER(SEARCH('Карта учёта'!$B$20,Расходка[[#This Row],[Наименование расходного материала]])),MAX($L$1:L33)+1,0)</f>
        <v>33</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Asahi Gaia Third</v>
      </c>
      <c r="X34" s="114" t="str">
        <f>IFERROR(INDEX(Расходка[Наименование расходного материала],MATCH(Расходка[[#This Row],[№]],Поиск_расходки[Индекс7],0)),"")</f>
        <v>Asahi Gaia Third</v>
      </c>
      <c r="Y34" s="114" t="str">
        <f>IFERROR(INDEX(Расходка[Наименование расходного материала],MATCH(Расходка[[#This Row],[№]],Поиск_расходки[Индекс8],0)),"")</f>
        <v>Asahi Gaia Third</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34</v>
      </c>
      <c r="K35" s="115">
        <f>IF(ISNUMBER(SEARCH('Карта учёта'!$B$19,Расходка[[#This Row],[Наименование расходного материала]])),MAX($K$1:K34)+1,0)</f>
        <v>34</v>
      </c>
      <c r="L35" s="115">
        <f>IF(ISNUMBER(SEARCH('Карта учёта'!$B$20,Расходка[[#This Row],[Наименование расходного материала]])),MAX($L$1:L34)+1,0)</f>
        <v>34</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Intuition</v>
      </c>
      <c r="X35" s="114" t="str">
        <f>IFERROR(INDEX(Расходка[Наименование расходного материала],MATCH(Расходка[[#This Row],[№]],Поиск_расходки[Индекс7],0)),"")</f>
        <v>Intuition</v>
      </c>
      <c r="Y35" s="114" t="str">
        <f>IFERROR(INDEX(Расходка[Наименование расходного материала],MATCH(Расходка[[#This Row],[№]],Поиск_расходки[Индекс8],0)),"")</f>
        <v>Intuition</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35</v>
      </c>
      <c r="K36" s="115">
        <f>IF(ISNUMBER(SEARCH('Карта учёта'!$B$19,Расходка[[#This Row],[Наименование расходного материала]])),MAX($K$1:K35)+1,0)</f>
        <v>35</v>
      </c>
      <c r="L36" s="115">
        <f>IF(ISNUMBER(SEARCH('Карта учёта'!$B$20,Расходка[[#This Row],[Наименование расходного материала]])),MAX($L$1:L35)+1,0)</f>
        <v>35</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ProVia 3 Hydro-Track®</v>
      </c>
      <c r="X36" s="114" t="str">
        <f>IFERROR(INDEX(Расходка[Наименование расходного материала],MATCH(Расходка[[#This Row],[№]],Поиск_расходки[Индекс7],0)),"")</f>
        <v>ProVia 3 Hydro-Track®</v>
      </c>
      <c r="Y36" s="114" t="str">
        <f>IFERROR(INDEX(Расходка[Наименование расходного материала],MATCH(Расходка[[#This Row],[№]],Поиск_расходки[Индекс8],0)),"")</f>
        <v>ProVia 3 Hydro-Track®</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36</v>
      </c>
      <c r="K37" s="115">
        <f>IF(ISNUMBER(SEARCH('Карта учёта'!$B$19,Расходка[[#This Row],[Наименование расходного материала]])),MAX($K$1:K36)+1,0)</f>
        <v>36</v>
      </c>
      <c r="L37" s="115">
        <f>IF(ISNUMBER(SEARCH('Карта учёта'!$B$20,Расходка[[#This Row],[Наименование расходного материала]])),MAX($L$1:L36)+1,0)</f>
        <v>36</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ProVia 6 Hydro-Track®</v>
      </c>
      <c r="X37" s="114" t="str">
        <f>IFERROR(INDEX(Расходка[Наименование расходного материала],MATCH(Расходка[[#This Row],[№]],Поиск_расходки[Индекс7],0)),"")</f>
        <v>ProVia 6 Hydro-Track®</v>
      </c>
      <c r="Y37" s="114" t="str">
        <f>IFERROR(INDEX(Расходка[Наименование расходного материала],MATCH(Расходка[[#This Row],[№]],Поиск_расходки[Индекс8],0)),"")</f>
        <v>ProVia 6 Hydro-Track®</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37</v>
      </c>
      <c r="K38" s="115">
        <f>IF(ISNUMBER(SEARCH('Карта учёта'!$B$19,Расходка[[#This Row],[Наименование расходного материала]])),MAX($K$1:K37)+1,0)</f>
        <v>37</v>
      </c>
      <c r="L38" s="115">
        <f>IF(ISNUMBER(SEARCH('Карта учёта'!$B$20,Расходка[[#This Row],[Наименование расходного материала]])),MAX($L$1:L37)+1,0)</f>
        <v>37</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ProVia 9 Hydro-Track®</v>
      </c>
      <c r="X38" s="114" t="str">
        <f>IFERROR(INDEX(Расходка[Наименование расходного материала],MATCH(Расходка[[#This Row],[№]],Поиск_расходки[Индекс7],0)),"")</f>
        <v>ProVia 9 Hydro-Track®</v>
      </c>
      <c r="Y38" s="114" t="str">
        <f>IFERROR(INDEX(Расходка[Наименование расходного материала],MATCH(Расходка[[#This Row],[№]],Поиск_расходки[Индекс8],0)),"")</f>
        <v>ProVia 9 Hydro-Track®</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38</v>
      </c>
      <c r="K39" s="115">
        <f>IF(ISNUMBER(SEARCH('Карта учёта'!$B$19,Расходка[[#This Row],[Наименование расходного материала]])),MAX($K$1:K38)+1,0)</f>
        <v>38</v>
      </c>
      <c r="L39" s="115">
        <f>IF(ISNUMBER(SEARCH('Карта учёта'!$B$20,Расходка[[#This Row],[Наименование расходного материала]])),MAX($L$1:L38)+1,0)</f>
        <v>38</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Rinato</v>
      </c>
      <c r="X39" s="114" t="str">
        <f>IFERROR(INDEX(Расходка[Наименование расходного материала],MATCH(Расходка[[#This Row],[№]],Поиск_расходки[Индекс7],0)),"")</f>
        <v>Rinato</v>
      </c>
      <c r="Y39" s="114" t="str">
        <f>IFERROR(INDEX(Расходка[Наименование расходного материала],MATCH(Расходка[[#This Row],[№]],Поиск_расходки[Индекс8],0)),"")</f>
        <v>Rinato</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39</v>
      </c>
      <c r="K40" s="115">
        <f>IF(ISNUMBER(SEARCH('Карта учёта'!$B$19,Расходка[[#This Row],[Наименование расходного материала]])),MAX($K$1:K39)+1,0)</f>
        <v>39</v>
      </c>
      <c r="L40" s="115">
        <f>IF(ISNUMBER(SEARCH('Карта учёта'!$B$20,Расходка[[#This Row],[Наименование расходного материала]])),MAX($L$1:L39)+1,0)</f>
        <v>39</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Runthrough NS (Floppy)</v>
      </c>
      <c r="X40" s="114" t="str">
        <f>IFERROR(INDEX(Расходка[Наименование расходного материала],MATCH(Расходка[[#This Row],[№]],Поиск_расходки[Индекс7],0)),"")</f>
        <v>Runthrough NS (Floppy)</v>
      </c>
      <c r="Y40" s="114" t="str">
        <f>IFERROR(INDEX(Расходка[Наименование расходного материала],MATCH(Расходка[[#This Row],[№]],Поиск_расходки[Индекс8],0)),"")</f>
        <v>Runthrough NS (Floppy)</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40</v>
      </c>
      <c r="K41" s="115">
        <f>IF(ISNUMBER(SEARCH('Карта учёта'!$B$19,Расходка[[#This Row],[Наименование расходного материала]])),MAX($K$1:K40)+1,0)</f>
        <v>40</v>
      </c>
      <c r="L41" s="115">
        <f>IF(ISNUMBER(SEARCH('Карта учёта'!$B$20,Расходка[[#This Row],[Наименование расходного материала]])),MAX($L$1:L40)+1,0)</f>
        <v>40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Runthrough NS Hypercoat</v>
      </c>
      <c r="X41" s="114" t="str">
        <f>IFERROR(INDEX(Расходка[Наименование расходного материала],MATCH(Расходка[[#This Row],[№]],Поиск_расходки[Индекс7],0)),"")</f>
        <v>Runthrough NS Hypercoat</v>
      </c>
      <c r="Y41" s="114" t="str">
        <f>IFERROR(INDEX(Расходка[Наименование расходного материала],MATCH(Расходка[[#This Row],[№]],Поиск_расходки[Индекс8],0)),"")</f>
        <v>Runthrough NS Hypercoat</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41</v>
      </c>
      <c r="K42" s="115">
        <f>IF(ISNUMBER(SEARCH('Карта учёта'!$B$19,Расходка[[#This Row],[Наименование расходного материала]])),MAX($K$1:K41)+1,0)</f>
        <v>41</v>
      </c>
      <c r="L42" s="115">
        <f>IF(ISNUMBER(SEARCH('Карта учёта'!$B$20,Расходка[[#This Row],[Наименование расходного материала]])),MAX($L$1:L41)+1,0)</f>
        <v>41</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Runthrough NS Intermediate</v>
      </c>
      <c r="X42" s="114" t="str">
        <f>IFERROR(INDEX(Расходка[Наименование расходного материала],MATCH(Расходка[[#This Row],[№]],Поиск_расходки[Индекс7],0)),"")</f>
        <v>Runthrough NS Intermediate</v>
      </c>
      <c r="Y42" s="114" t="str">
        <f>IFERROR(INDEX(Расходка[Наименование расходного материала],MATCH(Расходка[[#This Row],[№]],Поиск_расходки[Индекс8],0)),"")</f>
        <v>Runthrough NS Intermediate</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42</v>
      </c>
      <c r="K43" s="115">
        <f>IF(ISNUMBER(SEARCH('Карта учёта'!$B$19,Расходка[[#This Row],[Наименование расходного материала]])),MAX($K$1:K42)+1,0)</f>
        <v>42</v>
      </c>
      <c r="L43" s="115">
        <f>IF(ISNUMBER(SEARCH('Карта учёта'!$B$20,Расходка[[#This Row],[Наименование расходного материала]])),MAX($L$1:L42)+1,0)</f>
        <v>42</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Sion</v>
      </c>
      <c r="X43" s="114" t="str">
        <f>IFERROR(INDEX(Расходка[Наименование расходного материала],MATCH(Расходка[[#This Row],[№]],Поиск_расходки[Индекс7],0)),"")</f>
        <v>Sion</v>
      </c>
      <c r="Y43" s="114" t="str">
        <f>IFERROR(INDEX(Расходка[Наименование расходного материала],MATCH(Расходка[[#This Row],[№]],Поиск_расходки[Индекс8],0)),"")</f>
        <v>Sion</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43</v>
      </c>
      <c r="K44" s="115">
        <f>IF(ISNUMBER(SEARCH('Карта учёта'!$B$19,Расходка[[#This Row],[Наименование расходного материала]])),MAX($K$1:K43)+1,0)</f>
        <v>43</v>
      </c>
      <c r="L44" s="115">
        <f>IF(ISNUMBER(SEARCH('Карта учёта'!$B$20,Расходка[[#This Row],[Наименование расходного материала]])),MAX($L$1:L43)+1,0)</f>
        <v>43</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Sion Black</v>
      </c>
      <c r="X44" s="114" t="str">
        <f>IFERROR(INDEX(Расходка[Наименование расходного материала],MATCH(Расходка[[#This Row],[№]],Поиск_расходки[Индекс7],0)),"")</f>
        <v>Sion Black</v>
      </c>
      <c r="Y44" s="114" t="str">
        <f>IFERROR(INDEX(Расходка[Наименование расходного материала],MATCH(Расходка[[#This Row],[№]],Поиск_расходки[Индекс8],0)),"")</f>
        <v>Sion Black</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44</v>
      </c>
      <c r="K45" s="115">
        <f>IF(ISNUMBER(SEARCH('Карта учёта'!$B$19,Расходка[[#This Row],[Наименование расходного материала]])),MAX($K$1:K44)+1,0)</f>
        <v>44</v>
      </c>
      <c r="L45" s="115">
        <f>IF(ISNUMBER(SEARCH('Карта учёта'!$B$20,Расходка[[#This Row],[Наименование расходного материала]])),MAX($L$1:L44)+1,0)</f>
        <v>44</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Sion Blue</v>
      </c>
      <c r="X45" s="114" t="str">
        <f>IFERROR(INDEX(Расходка[Наименование расходного материала],MATCH(Расходка[[#This Row],[№]],Поиск_расходки[Индекс7],0)),"")</f>
        <v>Sion Blue</v>
      </c>
      <c r="Y45" s="114" t="str">
        <f>IFERROR(INDEX(Расходка[Наименование расходного материала],MATCH(Расходка[[#This Row],[№]],Поиск_расходки[Индекс8],0)),"")</f>
        <v>Sion Blue</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45</v>
      </c>
      <c r="K46" s="115">
        <f>IF(ISNUMBER(SEARCH('Карта учёта'!$B$19,Расходка[[#This Row],[Наименование расходного материала]])),MAX($K$1:K45)+1,0)</f>
        <v>45</v>
      </c>
      <c r="L46" s="115">
        <f>IF(ISNUMBER(SEARCH('Карта учёта'!$B$20,Расходка[[#This Row],[Наименование расходного материала]])),MAX($L$1:L45)+1,0)</f>
        <v>45</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Thunder</v>
      </c>
      <c r="X46" s="114" t="str">
        <f>IFERROR(INDEX(Расходка[Наименование расходного материала],MATCH(Расходка[[#This Row],[№]],Поиск_расходки[Индекс7],0)),"")</f>
        <v>Thunder</v>
      </c>
      <c r="Y46" s="114" t="str">
        <f>IFERROR(INDEX(Расходка[Наименование расходного материала],MATCH(Расходка[[#This Row],[№]],Поиск_расходки[Индекс8],0)),"")</f>
        <v>Thunder</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518</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1</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46</v>
      </c>
      <c r="K47" s="115">
        <f>IF(ISNUMBER(SEARCH('Карта учёта'!$B$19,Расходка[[#This Row],[Наименование расходного материала]])),MAX($K$1:K46)+1,0)</f>
        <v>46</v>
      </c>
      <c r="L47" s="115">
        <f>IF(ISNUMBER(SEARCH('Карта учёта'!$B$20,Расходка[[#This Row],[Наименование расходного материала]])),MAX($L$1:L46)+1,0)</f>
        <v>46</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Abbot Whisper MS</v>
      </c>
      <c r="X47" s="114" t="str">
        <f>IFERROR(INDEX(Расходка[Наименование расходного материала],MATCH(Расходка[[#This Row],[№]],Поиск_расходки[Индекс7],0)),"")</f>
        <v>Abbot Whisper MS</v>
      </c>
      <c r="Y47" s="114" t="str">
        <f>IFERROR(INDEX(Расходка[Наименование расходного материала],MATCH(Расходка[[#This Row],[№]],Поиск_расходки[Индекс8],0)),"")</f>
        <v>Abbot Whisper MS</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519</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47</v>
      </c>
      <c r="K48" s="115">
        <f>IF(ISNUMBER(SEARCH('Карта учёта'!$B$19,Расходка[[#This Row],[Наименование расходного материала]])),MAX($K$1:K47)+1,0)</f>
        <v>47</v>
      </c>
      <c r="L48" s="115">
        <f>IF(ISNUMBER(SEARCH('Карта учёта'!$B$20,Расходка[[#This Row],[Наименование расходного материала]])),MAX($L$1:L47)+1,0)</f>
        <v>47</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Abbot Whisper LS</v>
      </c>
      <c r="X48" s="114" t="str">
        <f>IFERROR(INDEX(Расходка[Наименование расходного материала],MATCH(Расходка[[#This Row],[№]],Поиск_расходки[Индекс7],0)),"")</f>
        <v>Abbot Whisper LS</v>
      </c>
      <c r="Y48" s="114" t="str">
        <f>IFERROR(INDEX(Расходка[Наименование расходного материала],MATCH(Расходка[[#This Row],[№]],Поиск_расходки[Индекс8],0)),"")</f>
        <v>Abbot Whisper LS</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48</v>
      </c>
      <c r="K49" s="115">
        <f>IF(ISNUMBER(SEARCH('Карта учёта'!$B$19,Расходка[[#This Row],[Наименование расходного материала]])),MAX($K$1:K48)+1,0)</f>
        <v>48</v>
      </c>
      <c r="L49" s="115">
        <f>IF(ISNUMBER(SEARCH('Карта учёта'!$B$20,Расходка[[#This Row],[Наименование расходного материала]])),MAX($L$1:L48)+1,0)</f>
        <v>48</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Winn 200T</v>
      </c>
      <c r="X49" s="114" t="str">
        <f>IFERROR(INDEX(Расходка[Наименование расходного материала],MATCH(Расходка[[#This Row],[№]],Поиск_расходки[Индекс7],0)),"")</f>
        <v>Winn 200T</v>
      </c>
      <c r="Y49" s="114" t="str">
        <f>IFERROR(INDEX(Расходка[Наименование расходного материала],MATCH(Расходка[[#This Row],[№]],Поиск_расходки[Индекс8],0)),"")</f>
        <v>Winn 200T</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49</v>
      </c>
      <c r="K50" s="115">
        <f>IF(ISNUMBER(SEARCH('Карта учёта'!$B$19,Расходка[[#This Row],[Наименование расходного материала]])),MAX($K$1:K49)+1,0)</f>
        <v>49</v>
      </c>
      <c r="L50" s="115">
        <f>IF(ISNUMBER(SEARCH('Карта учёта'!$B$20,Расходка[[#This Row],[Наименование расходного материала]])),MAX($L$1:L49)+1,0)</f>
        <v>49</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Проводник коронарный  1g, Angioline</v>
      </c>
      <c r="X50" s="114" t="str">
        <f>IFERROR(INDEX(Расходка[Наименование расходного материала],MATCH(Расходка[[#This Row],[№]],Поиск_расходки[Индекс7],0)),"")</f>
        <v>Проводник коронарный  1g, Angioline</v>
      </c>
      <c r="Y50" s="114" t="str">
        <f>IFERROR(INDEX(Расходка[Наименование расходного материала],MATCH(Расходка[[#This Row],[№]],Поиск_расходки[Индекс8],0)),"")</f>
        <v>Проводник коронарный  1g, Angioline</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50</v>
      </c>
      <c r="K51" s="115">
        <f>IF(ISNUMBER(SEARCH('Карта учёта'!$B$19,Расходка[[#This Row],[Наименование расходного материала]])),MAX($K$1:K50)+1,0)</f>
        <v>50</v>
      </c>
      <c r="L51" s="115">
        <f>IF(ISNUMBER(SEARCH('Карта учёта'!$B$20,Расходка[[#This Row],[Наименование расходного материала]])),MAX($L$1:L50)+1,0)</f>
        <v>50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Проводник коронарный  0,8g, Angioline</v>
      </c>
      <c r="X51" s="114" t="str">
        <f>IFERROR(INDEX(Расходка[Наименование расходного материала],MATCH(Расходка[[#This Row],[№]],Поиск_расходки[Индекс7],0)),"")</f>
        <v>Проводник коронарный  0,8g, Angioline</v>
      </c>
      <c r="Y51" s="114" t="str">
        <f>IFERROR(INDEX(Расходка[Наименование расходного материала],MATCH(Расходка[[#This Row],[№]],Поиск_расходки[Индекс8],0)),"")</f>
        <v>Проводник коронарный  0,8g, Angioline</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51</v>
      </c>
      <c r="K52" s="115">
        <f>IF(ISNUMBER(SEARCH('Карта учёта'!$B$19,Расходка[[#This Row],[Наименование расходного материала]])),MAX($K$1:K51)+1,0)</f>
        <v>51</v>
      </c>
      <c r="L52" s="115">
        <f>IF(ISNUMBER(SEARCH('Карта учёта'!$B$20,Расходка[[#This Row],[Наименование расходного материала]])),MAX($L$1:L51)+1,0)</f>
        <v>51</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Проводник коронарный  3g, Angioline</v>
      </c>
      <c r="X52" s="114" t="str">
        <f>IFERROR(INDEX(Расходка[Наименование расходного материала],MATCH(Расходка[[#This Row],[№]],Поиск_расходки[Индекс7],0)),"")</f>
        <v>Проводник коронарный  3g, Angioline</v>
      </c>
      <c r="Y52" s="114" t="str">
        <f>IFERROR(INDEX(Расходка[Наименование расходного материала],MATCH(Расходка[[#This Row],[№]],Поиск_расходки[Индекс8],0)),"")</f>
        <v>Проводник коронарный  3g, Angioline</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52</v>
      </c>
      <c r="K53" s="115">
        <f>IF(ISNUMBER(SEARCH('Карта учёта'!$B$19,Расходка[[#This Row],[Наименование расходного материала]])),MAX($K$1:K52)+1,0)</f>
        <v>52</v>
      </c>
      <c r="L53" s="115">
        <f>IF(ISNUMBER(SEARCH('Карта учёта'!$B$20,Расходка[[#This Row],[Наименование расходного материала]])),MAX($L$1:L52)+1,0)</f>
        <v>52</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xml:space="preserve">Balancium </v>
      </c>
      <c r="X53" s="114" t="str">
        <f>IFERROR(INDEX(Расходка[Наименование расходного материала],MATCH(Расходка[[#This Row],[№]],Поиск_расходки[Индекс7],0)),"")</f>
        <v xml:space="preserve">Balancium </v>
      </c>
      <c r="Y53" s="114" t="str">
        <f>IFERROR(INDEX(Расходка[Наименование расходного материала],MATCH(Расходка[[#This Row],[№]],Поиск_расходки[Индекс8],0)),"")</f>
        <v xml:space="preserve">Balancium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517</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0</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53</v>
      </c>
      <c r="K54" s="115">
        <f>IF(ISNUMBER(SEARCH('Карта учёта'!$B$19,Расходка[[#This Row],[Наименование расходного материала]])),MAX($K$1:K53)+1,0)</f>
        <v>53</v>
      </c>
      <c r="L54" s="115">
        <f>IF(ISNUMBER(SEARCH('Карта учёта'!$B$20,Расходка[[#This Row],[Наименование расходного материала]])),MAX($L$1:L53)+1,0)</f>
        <v>53</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Shunmei</v>
      </c>
      <c r="X54" s="114" t="str">
        <f>IFERROR(INDEX(Расходка[Наименование расходного материала],MATCH(Расходка[[#This Row],[№]],Поиск_расходки[Индекс7],0)),"")</f>
        <v>Shunmei</v>
      </c>
      <c r="Y54" s="114" t="str">
        <f>IFERROR(INDEX(Расходка[Наименование расходного материала],MATCH(Расходка[[#This Row],[№]],Поиск_расходки[Индекс8],0)),"")</f>
        <v>Shunmei</v>
      </c>
      <c r="Z54" s="114" t="str">
        <f>IFERROR(INDEX(Расходка[Наименование расходного материала],MATCH(Расходка[[#This Row],[№]],Поиск_расходки[Индекс9],0)),"")</f>
        <v>Shunmei</v>
      </c>
      <c r="AA54" s="114" t="str">
        <f>IFERROR(INDEX(Расходка[Наименование расходного материала],MATCH(Расходка[[#This Row],[№]],Поиск_расходки[Индекс10],0)),"")</f>
        <v>Shunmei</v>
      </c>
      <c r="AB54" s="114" t="str">
        <f>IFERROR(INDEX(Расходка[Наименование расходного материала],MATCH(Расходка[[#This Row],[№]],Поиск_расходки[Индекс11],0)),"")</f>
        <v>Shunmei</v>
      </c>
      <c r="AC54" s="114" t="str">
        <f>IFERROR(INDEX(Расходка[Наименование расходного материала],MATCH(Расходка[[#This Row],[№]],Поиск_расходки[Индекс12],0)),"")</f>
        <v>Shunmei</v>
      </c>
      <c r="AD54" s="114" t="str">
        <f>IFERROR(INDEX(Расходка[Наименование расходного материала],MATCH(Расходка[[#This Row],[№]],Поиск_расходки[Индекс13],0)),"")</f>
        <v>Shunmei</v>
      </c>
      <c r="AF54" s="4" t="s">
        <v>6</v>
      </c>
      <c r="AG54" s="4" t="s">
        <v>446</v>
      </c>
    </row>
    <row r="55" spans="1:33">
      <c r="A55">
        <f>ROW(Расходка[[#This Row],[Тип расходного материала ]])-1</f>
        <v>54</v>
      </c>
      <c r="B55" t="s">
        <v>3</v>
      </c>
      <c r="C55" t="s">
        <v>521</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54</v>
      </c>
      <c r="K55" s="115">
        <f>IF(ISNUMBER(SEARCH('Карта учёта'!$B$19,Расходка[[#This Row],[Наименование расходного материала]])),MAX($K$1:K54)+1,0)</f>
        <v>54</v>
      </c>
      <c r="L55" s="115">
        <f>IF(ISNUMBER(SEARCH('Карта учёта'!$B$20,Расходка[[#This Row],[Наименование расходного материала]])),MAX($L$1:L54)+1,0)</f>
        <v>54</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Pilot 150, 190 cm</v>
      </c>
      <c r="X55" s="114" t="str">
        <f>IFERROR(INDEX(Расходка[Наименование расходного материала],MATCH(Расходка[[#This Row],[№]],Поиск_расходки[Индекс7],0)),"")</f>
        <v>Pilot 150, 190 cm</v>
      </c>
      <c r="Y55" s="114" t="str">
        <f>IFERROR(INDEX(Расходка[Наименование расходного материала],MATCH(Расходка[[#This Row],[№]],Поиск_расходки[Индекс8],0)),"")</f>
        <v>Pilot 150, 190 cm</v>
      </c>
      <c r="Z55" s="114" t="str">
        <f>IFERROR(INDEX(Расходка[Наименование расходного материала],MATCH(Расходка[[#This Row],[№]],Поиск_расходки[Индекс9],0)),"")</f>
        <v>Pilot 150, 190 cm</v>
      </c>
      <c r="AA55" s="114" t="str">
        <f>IFERROR(INDEX(Расходка[Наименование расходного материала],MATCH(Расходка[[#This Row],[№]],Поиск_расходки[Индекс10],0)),"")</f>
        <v>Pilot 150, 190 cm</v>
      </c>
      <c r="AB55" s="114" t="str">
        <f>IFERROR(INDEX(Расходка[Наименование расходного материала],MATCH(Расходка[[#This Row],[№]],Поиск_расходки[Индекс11],0)),"")</f>
        <v>Pilot 150, 190 cm</v>
      </c>
      <c r="AC55" s="114" t="str">
        <f>IFERROR(INDEX(Расходка[Наименование расходного материала],MATCH(Расходка[[#This Row],[№]],Поиск_расходки[Индекс12],0)),"")</f>
        <v>Pilot 150, 190 cm</v>
      </c>
      <c r="AD55" s="114" t="str">
        <f>IFERROR(INDEX(Расходка[Наименование расходного материала],MATCH(Расходка[[#This Row],[№]],Поиск_расходки[Индекс13],0)),"")</f>
        <v>Pilot 150, 190 cm</v>
      </c>
      <c r="AF55" s="4" t="s">
        <v>6</v>
      </c>
      <c r="AG55" s="4" t="s">
        <v>447</v>
      </c>
    </row>
    <row r="56" spans="1:33">
      <c r="A56">
        <f>ROW(Расходка[[#This Row],[Тип расходного материала ]])-1</f>
        <v>55</v>
      </c>
      <c r="B56" t="s">
        <v>3</v>
      </c>
      <c r="C56" t="s">
        <v>522</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55</v>
      </c>
      <c r="K56" s="115">
        <f>IF(ISNUMBER(SEARCH('Карта учёта'!$B$19,Расходка[[#This Row],[Наименование расходного материала]])),MAX($K$1:K55)+1,0)</f>
        <v>55</v>
      </c>
      <c r="L56" s="115">
        <f>IF(ISNUMBER(SEARCH('Карта учёта'!$B$20,Расходка[[#This Row],[Наименование расходного материала]])),MAX($L$1:L55)+1,0)</f>
        <v>55</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Pilot 150, 300 cm</v>
      </c>
      <c r="X56" s="114" t="str">
        <f>IFERROR(INDEX(Расходка[Наименование расходного материала],MATCH(Расходка[[#This Row],[№]],Поиск_расходки[Индекс7],0)),"")</f>
        <v>Pilot 150, 300 cm</v>
      </c>
      <c r="Y56" s="114" t="str">
        <f>IFERROR(INDEX(Расходка[Наименование расходного материала],MATCH(Расходка[[#This Row],[№]],Поиск_расходки[Индекс8],0)),"")</f>
        <v>Pilot 150, 300 cm</v>
      </c>
      <c r="Z56" s="114" t="str">
        <f>IFERROR(INDEX(Расходка[Наименование расходного материала],MATCH(Расходка[[#This Row],[№]],Поиск_расходки[Индекс9],0)),"")</f>
        <v>Pilot 150, 300 cm</v>
      </c>
      <c r="AA56" s="114" t="str">
        <f>IFERROR(INDEX(Расходка[Наименование расходного материала],MATCH(Расходка[[#This Row],[№]],Поиск_расходки[Индекс10],0)),"")</f>
        <v>Pilot 150, 300 cm</v>
      </c>
      <c r="AB56" s="114" t="str">
        <f>IFERROR(INDEX(Расходка[Наименование расходного материала],MATCH(Расходка[[#This Row],[№]],Поиск_расходки[Индекс11],0)),"")</f>
        <v>Pilot 150, 300 cm</v>
      </c>
      <c r="AC56" s="114" t="str">
        <f>IFERROR(INDEX(Расходка[Наименование расходного материала],MATCH(Расходка[[#This Row],[№]],Поиск_расходки[Индекс12],0)),"")</f>
        <v>Pilot 150, 300 cm</v>
      </c>
      <c r="AD56" s="114" t="str">
        <f>IFERROR(INDEX(Расходка[Наименование расходного материала],MATCH(Расходка[[#This Row],[№]],Поиск_расходки[Индекс13],0)),"")</f>
        <v>Pilot 150, 300 cm</v>
      </c>
      <c r="AF56" s="4" t="s">
        <v>6</v>
      </c>
      <c r="AG56" s="4" t="s">
        <v>448</v>
      </c>
    </row>
    <row r="57" spans="1:33">
      <c r="A57">
        <f>ROW(Расходка[[#This Row],[Тип расходного материала ]])-1</f>
        <v>56</v>
      </c>
      <c r="B57" t="s">
        <v>6</v>
      </c>
      <c r="C57" s="1" t="s">
        <v>278</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56</v>
      </c>
      <c r="K57" s="115">
        <f>IF(ISNUMBER(SEARCH('Карта учёта'!$B$19,Расходка[[#This Row],[Наименование расходного материала]])),MAX($K$1:K56)+1,0)</f>
        <v>56</v>
      </c>
      <c r="L57" s="115">
        <f>IF(ISNUMBER(SEARCH('Карта учёта'!$B$20,Расходка[[#This Row],[Наименование расходного материала]])),MAX($L$1:L56)+1,0)</f>
        <v>56</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BMS, Integtity</v>
      </c>
      <c r="X57" s="114" t="str">
        <f>IFERROR(INDEX(Расходка[Наименование расходного материала],MATCH(Расходка[[#This Row],[№]],Поиск_расходки[Индекс7],0)),"")</f>
        <v>BMS, Integtity</v>
      </c>
      <c r="Y57" s="114" t="str">
        <f>IFERROR(INDEX(Расходка[Наименование расходного материала],MATCH(Расходка[[#This Row],[№]],Поиск_расходки[Индекс8],0)),"")</f>
        <v>BMS, Integtity</v>
      </c>
      <c r="Z57" s="114" t="str">
        <f>IFERROR(INDEX(Расходка[Наименование расходного материала],MATCH(Расходка[[#This Row],[№]],Поиск_расходки[Индекс9],0)),"")</f>
        <v>BMS, Integtity</v>
      </c>
      <c r="AA57" s="114" t="str">
        <f>IFERROR(INDEX(Расходка[Наименование расходного материала],MATCH(Расходка[[#This Row],[№]],Поиск_расходки[Индекс10],0)),"")</f>
        <v>BMS, Integtity</v>
      </c>
      <c r="AB57" s="114" t="str">
        <f>IFERROR(INDEX(Расходка[Наименование расходного материала],MATCH(Расходка[[#This Row],[№]],Поиск_расходки[Индекс11],0)),"")</f>
        <v>BMS, Integtity</v>
      </c>
      <c r="AC57" s="114" t="str">
        <f>IFERROR(INDEX(Расходка[Наименование расходного материала],MATCH(Расходка[[#This Row],[№]],Поиск_расходки[Индекс12],0)),"")</f>
        <v>BMS, Integtity</v>
      </c>
      <c r="AD57" s="114" t="str">
        <f>IFERROR(INDEX(Расходка[Наименование расходного материала],MATCH(Расходка[[#This Row],[№]],Поиск_расходки[Индекс13],0)),"")</f>
        <v>BMS, Integtity</v>
      </c>
      <c r="AF57" s="4" t="s">
        <v>6</v>
      </c>
      <c r="AG57" s="4" t="s">
        <v>449</v>
      </c>
    </row>
    <row r="58" spans="1:33">
      <c r="A58">
        <f>ROW(Расходка[[#This Row],[Тип расходного материала ]])-1</f>
        <v>57</v>
      </c>
      <c r="B58" t="s">
        <v>6</v>
      </c>
      <c r="C58" s="155" t="s">
        <v>344</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57</v>
      </c>
      <c r="K58" s="115">
        <f>IF(ISNUMBER(SEARCH('Карта учёта'!$B$19,Расходка[[#This Row],[Наименование расходного материала]])),MAX($K$1:K57)+1,0)</f>
        <v>57</v>
      </c>
      <c r="L58" s="115">
        <f>IF(ISNUMBER(SEARCH('Карта учёта'!$B$20,Расходка[[#This Row],[Наименование расходного материала]])),MAX($L$1:L57)+1,0)</f>
        <v>57</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DES, Calipso</v>
      </c>
      <c r="X58" s="114" t="str">
        <f>IFERROR(INDEX(Расходка[Наименование расходного материала],MATCH(Расходка[[#This Row],[№]],Поиск_расходки[Индекс7],0)),"")</f>
        <v>DES, Calipso</v>
      </c>
      <c r="Y58" s="114" t="str">
        <f>IFERROR(INDEX(Расходка[Наименование расходного материала],MATCH(Расходка[[#This Row],[№]],Поиск_расходки[Индекс8],0)),"")</f>
        <v>DES, Calipso</v>
      </c>
      <c r="Z58" s="114" t="str">
        <f>IFERROR(INDEX(Расходка[Наименование расходного материала],MATCH(Расходка[[#This Row],[№]],Поиск_расходки[Индекс9],0)),"")</f>
        <v>DES, Calipso</v>
      </c>
      <c r="AA58" s="114" t="str">
        <f>IFERROR(INDEX(Расходка[Наименование расходного материала],MATCH(Расходка[[#This Row],[№]],Поиск_расходки[Индекс10],0)),"")</f>
        <v>DES, Calipso</v>
      </c>
      <c r="AB58" s="114" t="str">
        <f>IFERROR(INDEX(Расходка[Наименование расходного материала],MATCH(Расходка[[#This Row],[№]],Поиск_расходки[Индекс11],0)),"")</f>
        <v>DES, Calipso</v>
      </c>
      <c r="AC58" s="114" t="str">
        <f>IFERROR(INDEX(Расходка[Наименование расходного материала],MATCH(Расходка[[#This Row],[№]],Поиск_расходки[Индекс12],0)),"")</f>
        <v>DES, Calipso</v>
      </c>
      <c r="AD58" s="114" t="str">
        <f>IFERROR(INDEX(Расходка[Наименование расходного материала],MATCH(Расходка[[#This Row],[№]],Поиск_расходки[Индекс13],0)),"")</f>
        <v>DES, Calipso</v>
      </c>
      <c r="AF58" s="4" t="s">
        <v>6</v>
      </c>
      <c r="AG58" s="4" t="s">
        <v>450</v>
      </c>
    </row>
    <row r="59" spans="1:33">
      <c r="A59">
        <f>ROW(Расходка[[#This Row],[Тип расходного материала ]])-1</f>
        <v>58</v>
      </c>
      <c r="B59" t="s">
        <v>6</v>
      </c>
      <c r="C59" s="213" t="s">
        <v>529</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58</v>
      </c>
      <c r="K59" s="115">
        <f>IF(ISNUMBER(SEARCH('Карта учёта'!$B$19,Расходка[[#This Row],[Наименование расходного материала]])),MAX($K$1:K58)+1,0)</f>
        <v>58</v>
      </c>
      <c r="L59" s="115">
        <f>IF(ISNUMBER(SEARCH('Карта учёта'!$B$20,Расходка[[#This Row],[Наименование расходного материала]])),MAX($L$1:L58)+1,0)</f>
        <v>58</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DES, Metafor</v>
      </c>
      <c r="X59" s="114" t="str">
        <f>IFERROR(INDEX(Расходка[Наименование расходного материала],MATCH(Расходка[[#This Row],[№]],Поиск_расходки[Индекс7],0)),"")</f>
        <v>DES, Metafor</v>
      </c>
      <c r="Y59" s="114" t="str">
        <f>IFERROR(INDEX(Расходка[Наименование расходного материала],MATCH(Расходка[[#This Row],[№]],Поиск_расходки[Индекс8],0)),"")</f>
        <v>DES, Metafor</v>
      </c>
      <c r="Z59" s="114" t="str">
        <f>IFERROR(INDEX(Расходка[Наименование расходного материала],MATCH(Расходка[[#This Row],[№]],Поиск_расходки[Индекс9],0)),"")</f>
        <v>DES, Metafor</v>
      </c>
      <c r="AA59" s="114" t="str">
        <f>IFERROR(INDEX(Расходка[Наименование расходного материала],MATCH(Расходка[[#This Row],[№]],Поиск_расходки[Индекс10],0)),"")</f>
        <v>DES, Metafor</v>
      </c>
      <c r="AB59" s="114" t="str">
        <f>IFERROR(INDEX(Расходка[Наименование расходного материала],MATCH(Расходка[[#This Row],[№]],Поиск_расходки[Индекс11],0)),"")</f>
        <v>DES, Metafor</v>
      </c>
      <c r="AC59" s="114" t="str">
        <f>IFERROR(INDEX(Расходка[Наименование расходного материала],MATCH(Расходка[[#This Row],[№]],Поиск_расходки[Индекс12],0)),"")</f>
        <v>DES, Metafor</v>
      </c>
      <c r="AD59" s="114" t="str">
        <f>IFERROR(INDEX(Расходка[Наименование расходного материала],MATCH(Расходка[[#This Row],[№]],Поиск_расходки[Индекс13],0)),"")</f>
        <v>DES, Metafor</v>
      </c>
      <c r="AF59" s="4" t="s">
        <v>6</v>
      </c>
      <c r="AG59" s="4" t="s">
        <v>451</v>
      </c>
    </row>
    <row r="60" spans="1:33">
      <c r="A60">
        <f>ROW(Расходка[[#This Row],[Тип расходного материала ]])-1</f>
        <v>59</v>
      </c>
      <c r="B60" t="s">
        <v>6</v>
      </c>
      <c r="C60" s="155" t="s">
        <v>343</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59</v>
      </c>
      <c r="K60" s="115">
        <f>IF(ISNUMBER(SEARCH('Карта учёта'!$B$19,Расходка[[#This Row],[Наименование расходного материала]])),MAX($K$1:K59)+1,0)</f>
        <v>59</v>
      </c>
      <c r="L60" s="115">
        <f>IF(ISNUMBER(SEARCH('Карта учёта'!$B$20,Расходка[[#This Row],[Наименование расходного материала]])),MAX($L$1:L59)+1,0)</f>
        <v>59</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DES, NanoMed</v>
      </c>
      <c r="X60" s="114" t="str">
        <f>IFERROR(INDEX(Расходка[Наименование расходного материала],MATCH(Расходка[[#This Row],[№]],Поиск_расходки[Индекс7],0)),"")</f>
        <v>DES, NanoMed</v>
      </c>
      <c r="Y60" s="114" t="str">
        <f>IFERROR(INDEX(Расходка[Наименование расходного материала],MATCH(Расходка[[#This Row],[№]],Поиск_расходки[Индекс8],0)),"")</f>
        <v>DES, NanoMed</v>
      </c>
      <c r="Z60" s="114" t="str">
        <f>IFERROR(INDEX(Расходка[Наименование расходного материала],MATCH(Расходка[[#This Row],[№]],Поиск_расходки[Индекс9],0)),"")</f>
        <v>DES, NanoMed</v>
      </c>
      <c r="AA60" s="114" t="str">
        <f>IFERROR(INDEX(Расходка[Наименование расходного материала],MATCH(Расходка[[#This Row],[№]],Поиск_расходки[Индекс10],0)),"")</f>
        <v>DES, NanoMed</v>
      </c>
      <c r="AB60" s="114" t="str">
        <f>IFERROR(INDEX(Расходка[Наименование расходного материала],MATCH(Расходка[[#This Row],[№]],Поиск_расходки[Индекс11],0)),"")</f>
        <v>DES, NanoMed</v>
      </c>
      <c r="AC60" s="114" t="str">
        <f>IFERROR(INDEX(Расходка[Наименование расходного материала],MATCH(Расходка[[#This Row],[№]],Поиск_расходки[Индекс12],0)),"")</f>
        <v>DES, NanoMed</v>
      </c>
      <c r="AD60" s="114" t="str">
        <f>IFERROR(INDEX(Расходка[Наименование расходного материала],MATCH(Расходка[[#This Row],[№]],Поиск_расходки[Индекс13],0)),"")</f>
        <v>DES, NanoMed</v>
      </c>
      <c r="AF60" s="4" t="s">
        <v>6</v>
      </c>
      <c r="AG60" s="4" t="s">
        <v>452</v>
      </c>
    </row>
    <row r="61" spans="1:33">
      <c r="A61">
        <f>ROW(Расходка[[#This Row],[Тип расходного материала ]])-1</f>
        <v>60</v>
      </c>
      <c r="B61" t="s">
        <v>6</v>
      </c>
      <c r="C61" s="129" t="s">
        <v>322</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0</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60</v>
      </c>
      <c r="K61" s="115">
        <f>IF(ISNUMBER(SEARCH('Карта учёта'!$B$19,Расходка[[#This Row],[Наименование расходного материала]])),MAX($K$1:K60)+1,0)</f>
        <v>60</v>
      </c>
      <c r="L61" s="115">
        <f>IF(ISNUMBER(SEARCH('Карта учёта'!$B$20,Расходка[[#This Row],[Наименование расходного материала]])),MAX($L$1:L60)+1,0)</f>
        <v>60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DES, Resolute Integtity</v>
      </c>
      <c r="X61" s="114" t="str">
        <f>IFERROR(INDEX(Расходка[Наименование расходного материала],MATCH(Расходка[[#This Row],[№]],Поиск_расходки[Индекс7],0)),"")</f>
        <v>DES, Resolute Integtity</v>
      </c>
      <c r="Y61" s="114" t="str">
        <f>IFERROR(INDEX(Расходка[Наименование расходного материала],MATCH(Расходка[[#This Row],[№]],Поиск_расходки[Индекс8],0)),"")</f>
        <v>DES, Resolute Integtity</v>
      </c>
      <c r="Z61" s="114" t="str">
        <f>IFERROR(INDEX(Расходка[Наименование расходного материала],MATCH(Расходка[[#This Row],[№]],Поиск_расходки[Индекс9],0)),"")</f>
        <v>DES, Resolute Integtity</v>
      </c>
      <c r="AA61" s="114" t="str">
        <f>IFERROR(INDEX(Расходка[Наименование расходного материала],MATCH(Расходка[[#This Row],[№]],Поиск_расходки[Индекс10],0)),"")</f>
        <v>DES, Resolute Integtity</v>
      </c>
      <c r="AB61" s="114" t="str">
        <f>IFERROR(INDEX(Расходка[Наименование расходного материала],MATCH(Расходка[[#This Row],[№]],Поиск_расходки[Индекс11],0)),"")</f>
        <v>DES, Resolute Integtity</v>
      </c>
      <c r="AC61" s="114" t="str">
        <f>IFERROR(INDEX(Расходка[Наименование расходного материала],MATCH(Расходка[[#This Row],[№]],Поиск_расходки[Индекс12],0)),"")</f>
        <v>DES, Resolute Integtity</v>
      </c>
      <c r="AD61" s="114" t="str">
        <f>IFERROR(INDEX(Расходка[Наименование расходного материала],MATCH(Расходка[[#This Row],[№]],Поиск_расходки[Индекс13],0)),"")</f>
        <v>DES, Resolute Integtity</v>
      </c>
      <c r="AF61" s="4" t="s">
        <v>6</v>
      </c>
      <c r="AG61" s="4" t="s">
        <v>413</v>
      </c>
    </row>
    <row r="62" spans="1:33">
      <c r="A62">
        <f>ROW(Расходка[[#This Row],[Тип расходного материала ]])-1</f>
        <v>61</v>
      </c>
      <c r="B62" t="s">
        <v>6</v>
      </c>
      <c r="C62" t="s">
        <v>356</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61</v>
      </c>
      <c r="K62" s="115">
        <f>IF(ISNUMBER(SEARCH('Карта учёта'!$B$19,Расходка[[#This Row],[Наименование расходного материала]])),MAX($K$1:K61)+1,0)</f>
        <v>61</v>
      </c>
      <c r="L62" s="115">
        <f>IF(ISNUMBER(SEARCH('Карта учёта'!$B$20,Расходка[[#This Row],[Наименование расходного материала]])),MAX($L$1:L61)+1,0)</f>
        <v>61</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DES, Yukon Chrome PC</v>
      </c>
      <c r="X62" s="114" t="str">
        <f>IFERROR(INDEX(Расходка[Наименование расходного материала],MATCH(Расходка[[#This Row],[№]],Поиск_расходки[Индекс7],0)),"")</f>
        <v>DES, Yukon Chrome PC</v>
      </c>
      <c r="Y62" s="114" t="str">
        <f>IFERROR(INDEX(Расходка[Наименование расходного материала],MATCH(Расходка[[#This Row],[№]],Поиск_расходки[Индекс8],0)),"")</f>
        <v>DES, Yukon Chrome PC</v>
      </c>
      <c r="Z62" s="114" t="str">
        <f>IFERROR(INDEX(Расходка[Наименование расходного материала],MATCH(Расходка[[#This Row],[№]],Поиск_расходки[Индекс9],0)),"")</f>
        <v>DES, Yukon Chrome PC</v>
      </c>
      <c r="AA62" s="114" t="str">
        <f>IFERROR(INDEX(Расходка[Наименование расходного материала],MATCH(Расходка[[#This Row],[№]],Поиск_расходки[Индекс10],0)),"")</f>
        <v>DES, Yukon Chrome PC</v>
      </c>
      <c r="AB62" s="114" t="str">
        <f>IFERROR(INDEX(Расходка[Наименование расходного материала],MATCH(Расходка[[#This Row],[№]],Поиск_расходки[Индекс11],0)),"")</f>
        <v>DES, Yukon Chrome PC</v>
      </c>
      <c r="AC62" s="114" t="str">
        <f>IFERROR(INDEX(Расходка[Наименование расходного материала],MATCH(Расходка[[#This Row],[№]],Поиск_расходки[Индекс12],0)),"")</f>
        <v>DES, Yukon Chrome PC</v>
      </c>
      <c r="AD62" s="114" t="str">
        <f>IFERROR(INDEX(Расходка[Наименование расходного материала],MATCH(Расходка[[#This Row],[№]],Поиск_расходки[Индекс13],0)),"")</f>
        <v>DES, Yukon Chrome PC</v>
      </c>
      <c r="AF62" s="4" t="s">
        <v>6</v>
      </c>
      <c r="AG62" s="4" t="s">
        <v>453</v>
      </c>
    </row>
    <row r="63" spans="1:33">
      <c r="A63">
        <f>ROW(Расходка[[#This Row],[Тип расходного материала ]])-1</f>
        <v>62</v>
      </c>
      <c r="B63" t="s">
        <v>6</v>
      </c>
      <c r="C63" s="159" t="s">
        <v>384</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62</v>
      </c>
      <c r="K63" s="115">
        <f>IF(ISNUMBER(SEARCH('Карта учёта'!$B$19,Расходка[[#This Row],[Наименование расходного материала]])),MAX($K$1:K62)+1,0)</f>
        <v>62</v>
      </c>
      <c r="L63" s="115">
        <f>IF(ISNUMBER(SEARCH('Карта учёта'!$B$20,Расходка[[#This Row],[Наименование расходного материала]])),MAX($L$1:L62)+1,0)</f>
        <v>62</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DES, Firehawk</v>
      </c>
      <c r="X63" s="114" t="str">
        <f>IFERROR(INDEX(Расходка[Наименование расходного материала],MATCH(Расходка[[#This Row],[№]],Поиск_расходки[Индекс7],0)),"")</f>
        <v>DES, Firehawk</v>
      </c>
      <c r="Y63" s="114" t="str">
        <f>IFERROR(INDEX(Расходка[Наименование расходного материала],MATCH(Расходка[[#This Row],[№]],Поиск_расходки[Индекс8],0)),"")</f>
        <v>DES, Firehawk</v>
      </c>
      <c r="Z63" s="114" t="str">
        <f>IFERROR(INDEX(Расходка[Наименование расходного материала],MATCH(Расходка[[#This Row],[№]],Поиск_расходки[Индекс9],0)),"")</f>
        <v>DES, Firehawk</v>
      </c>
      <c r="AA63" s="114" t="str">
        <f>IFERROR(INDEX(Расходка[Наименование расходного материала],MATCH(Расходка[[#This Row],[№]],Поиск_расходки[Индекс10],0)),"")</f>
        <v>DES, Firehawk</v>
      </c>
      <c r="AB63" s="114" t="str">
        <f>IFERROR(INDEX(Расходка[Наименование расходного материала],MATCH(Расходка[[#This Row],[№]],Поиск_расходки[Индекс11],0)),"")</f>
        <v>DES, Firehawk</v>
      </c>
      <c r="AC63" s="114" t="str">
        <f>IFERROR(INDEX(Расходка[Наименование расходного материала],MATCH(Расходка[[#This Row],[№]],Поиск_расходки[Индекс12],0)),"")</f>
        <v>DES, Firehawk</v>
      </c>
      <c r="AD63" s="114" t="str">
        <f>IFERROR(INDEX(Расходка[Наименование расходного материала],MATCH(Расходка[[#This Row],[№]],Поиск_расходки[Индекс13],0)),"")</f>
        <v>DES, Firehawk</v>
      </c>
      <c r="AF63" s="4" t="s">
        <v>6</v>
      </c>
      <c r="AG63" s="4" t="s">
        <v>454</v>
      </c>
    </row>
    <row r="64" spans="1:33">
      <c r="A64">
        <f>ROW(Расходка[[#This Row],[Тип расходного материала ]])-1</f>
        <v>63</v>
      </c>
      <c r="B64" t="s">
        <v>6</v>
      </c>
      <c r="C64" t="s">
        <v>383</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63</v>
      </c>
      <c r="K64" s="115">
        <f>IF(ISNUMBER(SEARCH('Карта учёта'!$B$19,Расходка[[#This Row],[Наименование расходного материала]])),MAX($K$1:K63)+1,0)</f>
        <v>63</v>
      </c>
      <c r="L64" s="115">
        <f>IF(ISNUMBER(SEARCH('Карта учёта'!$B$20,Расходка[[#This Row],[Наименование расходного материала]])),MAX($L$1:L63)+1,0)</f>
        <v>63</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DES, Resolute Onyx</v>
      </c>
      <c r="X64" s="114" t="str">
        <f>IFERROR(INDEX(Расходка[Наименование расходного материала],MATCH(Расходка[[#This Row],[№]],Поиск_расходки[Индекс7],0)),"")</f>
        <v>DES, Resolute Onyx</v>
      </c>
      <c r="Y64" s="114" t="str">
        <f>IFERROR(INDEX(Расходка[Наименование расходного материала],MATCH(Расходка[[#This Row],[№]],Поиск_расходки[Индекс8],0)),"")</f>
        <v>DES, Resolute Onyx</v>
      </c>
      <c r="Z64" s="114" t="str">
        <f>IFERROR(INDEX(Расходка[Наименование расходного материала],MATCH(Расходка[[#This Row],[№]],Поиск_расходки[Индекс9],0)),"")</f>
        <v>DES, Resolute Onyx</v>
      </c>
      <c r="AA64" s="114" t="str">
        <f>IFERROR(INDEX(Расходка[Наименование расходного материала],MATCH(Расходка[[#This Row],[№]],Поиск_расходки[Индекс10],0)),"")</f>
        <v>DES, Resolute Onyx</v>
      </c>
      <c r="AB64" s="114" t="str">
        <f>IFERROR(INDEX(Расходка[Наименование расходного материала],MATCH(Расходка[[#This Row],[№]],Поиск_расходки[Индекс11],0)),"")</f>
        <v>DES, Resolute Onyx</v>
      </c>
      <c r="AC64" s="114" t="str">
        <f>IFERROR(INDEX(Расходка[Наименование расходного материала],MATCH(Расходка[[#This Row],[№]],Поиск_расходки[Индекс12],0)),"")</f>
        <v>DES, Resolute Onyx</v>
      </c>
      <c r="AD64" s="114" t="str">
        <f>IFERROR(INDEX(Расходка[Наименование расходного материала],MATCH(Расходка[[#This Row],[№]],Поиск_расходки[Индекс13],0)),"")</f>
        <v>DES, Resolute Onyx</v>
      </c>
      <c r="AF64" s="4" t="s">
        <v>6</v>
      </c>
      <c r="AG64" s="4" t="s">
        <v>455</v>
      </c>
    </row>
    <row r="65" spans="1:33">
      <c r="A65">
        <f>ROW(Расходка[[#This Row],[Тип расходного материала ]])-1</f>
        <v>64</v>
      </c>
      <c r="B65" t="s">
        <v>6</v>
      </c>
      <c r="C65" t="s">
        <v>515</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64</v>
      </c>
      <c r="K65" s="115">
        <f>IF(ISNUMBER(SEARCH('Карта учёта'!$B$19,Расходка[[#This Row],[Наименование расходного материала]])),MAX($K$1:K64)+1,0)</f>
        <v>64</v>
      </c>
      <c r="L65" s="115">
        <f>IF(ISNUMBER(SEARCH('Карта учёта'!$B$20,Расходка[[#This Row],[Наименование расходного материала]])),MAX($L$1:L64)+1,0)</f>
        <v>64</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DES, Калипсо</v>
      </c>
      <c r="X65" s="114" t="str">
        <f>IFERROR(INDEX(Расходка[Наименование расходного материала],MATCH(Расходка[[#This Row],[№]],Поиск_расходки[Индекс7],0)),"")</f>
        <v>DES, Калипсо</v>
      </c>
      <c r="Y65" s="114" t="str">
        <f>IFERROR(INDEX(Расходка[Наименование расходного материала],MATCH(Расходка[[#This Row],[№]],Поиск_расходки[Индекс8],0)),"")</f>
        <v>DES, Калипсо</v>
      </c>
      <c r="Z65" s="114" t="str">
        <f>IFERROR(INDEX(Расходка[Наименование расходного материала],MATCH(Расходка[[#This Row],[№]],Поиск_расходки[Индекс9],0)),"")</f>
        <v>DES, Калипсо</v>
      </c>
      <c r="AA65" s="114" t="str">
        <f>IFERROR(INDEX(Расходка[Наименование расходного материала],MATCH(Расходка[[#This Row],[№]],Поиск_расходки[Индекс10],0)),"")</f>
        <v>DES, Калипсо</v>
      </c>
      <c r="AB65" s="114" t="str">
        <f>IFERROR(INDEX(Расходка[Наименование расходного материала],MATCH(Расходка[[#This Row],[№]],Поиск_расходки[Индекс11],0)),"")</f>
        <v>DES, Калипсо</v>
      </c>
      <c r="AC65" s="114" t="str">
        <f>IFERROR(INDEX(Расходка[Наименование расходного материала],MATCH(Расходка[[#This Row],[№]],Поиск_расходки[Индекс12],0)),"")</f>
        <v>DES, Калипсо</v>
      </c>
      <c r="AD65" s="114" t="str">
        <f>IFERROR(INDEX(Расходка[Наименование расходного материала],MATCH(Расходка[[#This Row],[№]],Поиск_расходки[Индекс13],0)),"")</f>
        <v>DES, Калипсо</v>
      </c>
      <c r="AF65" s="4" t="s">
        <v>6</v>
      </c>
      <c r="AG65" s="4" t="s">
        <v>456</v>
      </c>
    </row>
    <row r="66" spans="1:33">
      <c r="A66">
        <f>ROW(Расходка[[#This Row],[Тип расходного материала ]])-1</f>
        <v>65</v>
      </c>
      <c r="B66" t="s">
        <v>6</v>
      </c>
      <c r="C66" t="s">
        <v>516</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65</v>
      </c>
      <c r="K66" s="115">
        <f>IF(ISNUMBER(SEARCH('Карта учёта'!$B$19,Расходка[[#This Row],[Наименование расходного материала]])),MAX($K$1:K65)+1,0)</f>
        <v>65</v>
      </c>
      <c r="L66" s="115">
        <f>IF(ISNUMBER(SEARCH('Карта учёта'!$B$20,Расходка[[#This Row],[Наименование расходного материала]])),MAX($L$1:L65)+1,0)</f>
        <v>65</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Meril Evermine50™</v>
      </c>
      <c r="X66" s="114" t="str">
        <f>IFERROR(INDEX(Расходка[Наименование расходного материала],MATCH(Расходка[[#This Row],[№]],Поиск_расходки[Индекс7],0)),"")</f>
        <v>Meril Evermine50™</v>
      </c>
      <c r="Y66" s="114" t="str">
        <f>IFERROR(INDEX(Расходка[Наименование расходного материала],MATCH(Расходка[[#This Row],[№]],Поиск_расходки[Индекс8],0)),"")</f>
        <v>Meril Evermine50™</v>
      </c>
      <c r="Z66" s="114" t="str">
        <f>IFERROR(INDEX(Расходка[Наименование расходного материала],MATCH(Расходка[[#This Row],[№]],Поиск_расходки[Индекс9],0)),"")</f>
        <v>Meril Evermine50™</v>
      </c>
      <c r="AA66" s="114" t="str">
        <f>IFERROR(INDEX(Расходка[Наименование расходного материала],MATCH(Расходка[[#This Row],[№]],Поиск_расходки[Индекс10],0)),"")</f>
        <v>Meril Evermine50™</v>
      </c>
      <c r="AB66" s="114" t="str">
        <f>IFERROR(INDEX(Расходка[Наименование расходного материала],MATCH(Расходка[[#This Row],[№]],Поиск_расходки[Индекс11],0)),"")</f>
        <v>Meril Evermine50™</v>
      </c>
      <c r="AC66" s="114" t="str">
        <f>IFERROR(INDEX(Расходка[Наименование расходного материала],MATCH(Расходка[[#This Row],[№]],Поиск_расходки[Индекс12],0)),"")</f>
        <v>Meril Evermine50™</v>
      </c>
      <c r="AD66" s="114" t="str">
        <f>IFERROR(INDEX(Расходка[Наименование расходного материала],MATCH(Расходка[[#This Row],[№]],Поиск_расходки[Индекс13],0)),"")</f>
        <v>Meril Evermine50™</v>
      </c>
      <c r="AF66" s="4" t="s">
        <v>6</v>
      </c>
      <c r="AG66" s="4" t="s">
        <v>457</v>
      </c>
    </row>
    <row r="67" spans="1:33">
      <c r="A67">
        <f>ROW(Расходка[[#This Row],[Тип расходного материала ]])-1</f>
        <v>66</v>
      </c>
      <c r="B67" t="s">
        <v>95</v>
      </c>
      <c r="C67" s="1" t="s">
        <v>323</v>
      </c>
      <c r="E67" s="195">
        <f>IF(ISNUMBER(SEARCH('Карта учёта'!$B$13,Расходка[[#This Row],[Наименование расходного материала]])),MAX($E$1:E66)+1,0)</f>
        <v>0</v>
      </c>
      <c r="F67" s="195">
        <f>IF(ISNUMBER(SEARCH('Карта учёта'!$B$14,Расходка[[#This Row],[Наименование расходного материала]])),MAX($F$1:F66)+1,0)</f>
        <v>0</v>
      </c>
      <c r="G67" s="195">
        <f>IF(ISNUMBER(SEARCH('Карта учёта'!$B$15,Расходка[[#This Row],[Наименование расходного материала]])),MAX($G$1:G66)+1,0)</f>
        <v>0</v>
      </c>
      <c r="H67" s="195">
        <f>IF(ISNUMBER(SEARCH('Карта учёта'!$B$16,Расходка[[#This Row],[Наименование расходного материала]])),MAX($H$1:H66)+1,0)</f>
        <v>0</v>
      </c>
      <c r="I67" s="195">
        <f>IF(ISNUMBER(SEARCH('Карта учёта'!$B$17,Расходка[[#This Row],[Наименование расходного материала]])),MAX($I$1:I66)+1,0)</f>
        <v>0</v>
      </c>
      <c r="J67" s="195">
        <f>IF(ISNUMBER(SEARCH('Карта учёта'!$B$18,Расходка[[#This Row],[Наименование расходного материала]])),MAX($J$1:J66)+1,0)</f>
        <v>66</v>
      </c>
      <c r="K67" s="195">
        <f>IF(ISNUMBER(SEARCH('Карта учёта'!$B$19,Расходка[[#This Row],[Наименование расходного материала]])),MAX($K$1:K66)+1,0)</f>
        <v>66</v>
      </c>
      <c r="L67" s="195">
        <f>IF(ISNUMBER(SEARCH('Карта учёта'!$B$20,Расходка[[#This Row],[Наименование расходного материала]])),MAX($L$1:L66)+1,0)</f>
        <v>66</v>
      </c>
      <c r="M67" s="195">
        <f>IF(ISNUMBER(SEARCH('Карта учёта'!$B$21,Расходка[[#This Row],[Наименование расходного материала]])),MAX($M$1:M66)+1,0)</f>
        <v>66</v>
      </c>
      <c r="N67" s="195">
        <f>IF(ISNUMBER(SEARCH('Карта учёта'!$B$22,Расходка[[#This Row],[Наименование расходного материала]])),MAX($N$1:N66)+1,0)</f>
        <v>66</v>
      </c>
      <c r="O67" s="195">
        <f>IF(ISNUMBER(SEARCH('Карта учёта'!$B$23,Расходка[[#This Row],[Наименование расходного материала]])),MAX($O$1:O66)+1,0)</f>
        <v>66</v>
      </c>
      <c r="P67" s="195">
        <f>IF(ISNUMBER(SEARCH('Карта учёта'!$B$24,Расходка[[#This Row],[Наименование расходного материала]])),MAX($P$1:P66)+1,0)</f>
        <v>66</v>
      </c>
      <c r="Q67" s="195">
        <f>IF(ISNUMBER(SEARCH('Карта учёта'!$B$25,Расходка[[#This Row],[Наименование расходного материала]])),MAX($Q$1:Q66)+1,0)</f>
        <v>66</v>
      </c>
      <c r="R67" s="196" t="str">
        <f>IFERROR(INDEX(Расходка[Наименование расходного материала],MATCH(Расходка[[#This Row],[№]],Поиск_расходки[Индекс1],0)),"")</f>
        <v/>
      </c>
      <c r="S67" s="196" t="str">
        <f>IFERROR(INDEX(Расходка[Наименование расходного материала],MATCH(Расходка[[#This Row],[№]],Поиск_расходки[Индекс2],0)),"")</f>
        <v/>
      </c>
      <c r="T67" s="196" t="str">
        <f>IFERROR(INDEX(Расходка[Наименование расходного материала],MATCH(Расходка[[#This Row],[№]],Поиск_расходки[Индекс3],0)),"")</f>
        <v/>
      </c>
      <c r="U67" s="196" t="str">
        <f>IFERROR(INDEX(Расходка[Наименование расходного материала],MATCH(Расходка[[#This Row],[№]],Поиск_расходки[Индекс4],0)),"")</f>
        <v/>
      </c>
      <c r="V67" s="196" t="str">
        <f>IFERROR(INDEX(Расходка[Наименование расходного материала],MATCH(Расходка[[#This Row],[№]],Поиск_расходки[Индекс5],0)),"")</f>
        <v/>
      </c>
      <c r="W67" s="196" t="str">
        <f>IFERROR(INDEX(Расходка[Наименование расходного материала],MATCH(Расходка[[#This Row],[№]],Поиск_расходки[Индекс6],0)),"")</f>
        <v>Guidezilla™ II 6F</v>
      </c>
      <c r="X67" s="196" t="str">
        <f>IFERROR(INDEX(Расходка[Наименование расходного материала],MATCH(Расходка[[#This Row],[№]],Поиск_расходки[Индекс7],0)),"")</f>
        <v>Guidezilla™ II 6F</v>
      </c>
      <c r="Y67" s="196" t="str">
        <f>IFERROR(INDEX(Расходка[Наименование расходного материала],MATCH(Расходка[[#This Row],[№]],Поиск_расходки[Индекс8],0)),"")</f>
        <v>Guidezilla™ II 6F</v>
      </c>
      <c r="Z67" s="196" t="str">
        <f>IFERROR(INDEX(Расходка[Наименование расходного материала],MATCH(Расходка[[#This Row],[№]],Поиск_расходки[Индекс9],0)),"")</f>
        <v>Guidezilla™ II 6F</v>
      </c>
      <c r="AA67" s="196" t="str">
        <f>IFERROR(INDEX(Расходка[Наименование расходного материала],MATCH(Расходка[[#This Row],[№]],Поиск_расходки[Индекс10],0)),"")</f>
        <v>Guidezilla™ II 6F</v>
      </c>
      <c r="AB67" s="196" t="str">
        <f>IFERROR(INDEX(Расходка[Наименование расходного материала],MATCH(Расходка[[#This Row],[№]],Поиск_расходки[Индекс11],0)),"")</f>
        <v>Guidezilla™ II 6F</v>
      </c>
      <c r="AC67" s="196" t="str">
        <f>IFERROR(INDEX(Расходка[Наименование расходного материала],MATCH(Расходка[[#This Row],[№]],Поиск_расходки[Индекс12],0)),"")</f>
        <v>Guidezilla™ II 6F</v>
      </c>
      <c r="AD67" s="196" t="str">
        <f>IFERROR(INDEX(Расходка[Наименование расходного материала],MATCH(Расходка[[#This Row],[№]],Поиск_расходки[Индекс13],0)),"")</f>
        <v>Guidezilla™ II 6F</v>
      </c>
      <c r="AF67" s="4" t="s">
        <v>6</v>
      </c>
      <c r="AG67" s="4" t="s">
        <v>458</v>
      </c>
    </row>
    <row r="68" spans="1:33">
      <c r="A68">
        <f>ROW(Расходка[[#This Row],[Тип расходного материала ]])-1</f>
        <v>67</v>
      </c>
      <c r="B68" t="s">
        <v>95</v>
      </c>
      <c r="C68" s="1" t="s">
        <v>342</v>
      </c>
      <c r="E68" s="195">
        <f>IF(ISNUMBER(SEARCH('Карта учёта'!$B$13,Расходка[[#This Row],[Наименование расходного материала]])),MAX($E$1:E67)+1,0)</f>
        <v>0</v>
      </c>
      <c r="F68" s="195">
        <f>IF(ISNUMBER(SEARCH('Карта учёта'!$B$14,Расходка[[#This Row],[Наименование расходного материала]])),MAX($F$1:F67)+1,0)</f>
        <v>0</v>
      </c>
      <c r="G68" s="195">
        <f>IF(ISNUMBER(SEARCH('Карта учёта'!$B$15,Расходка[[#This Row],[Наименование расходного материала]])),MAX($G$1:G67)+1,0)</f>
        <v>0</v>
      </c>
      <c r="H68" s="195">
        <f>IF(ISNUMBER(SEARCH('Карта учёта'!$B$16,Расходка[[#This Row],[Наименование расходного материала]])),MAX($H$1:H67)+1,0)</f>
        <v>0</v>
      </c>
      <c r="I68" s="195">
        <f>IF(ISNUMBER(SEARCH('Карта учёта'!$B$17,Расходка[[#This Row],[Наименование расходного материала]])),MAX($I$1:I67)+1,0)</f>
        <v>0</v>
      </c>
      <c r="J68" s="195">
        <f>IF(ISNUMBER(SEARCH('Карта учёта'!$B$18,Расходка[[#This Row],[Наименование расходного материала]])),MAX($J$1:J67)+1,0)</f>
        <v>67</v>
      </c>
      <c r="K68" s="195">
        <f>IF(ISNUMBER(SEARCH('Карта учёта'!$B$19,Расходка[[#This Row],[Наименование расходного материала]])),MAX($K$1:K67)+1,0)</f>
        <v>67</v>
      </c>
      <c r="L68" s="195">
        <f>IF(ISNUMBER(SEARCH('Карта учёта'!$B$20,Расходка[[#This Row],[Наименование расходного материала]])),MAX($L$1:L67)+1,0)</f>
        <v>67</v>
      </c>
      <c r="M68" s="195">
        <f>IF(ISNUMBER(SEARCH('Карта учёта'!$B$21,Расходка[[#This Row],[Наименование расходного материала]])),MAX($M$1:M67)+1,0)</f>
        <v>67</v>
      </c>
      <c r="N68" s="195">
        <f>IF(ISNUMBER(SEARCH('Карта учёта'!$B$22,Расходка[[#This Row],[Наименование расходного материала]])),MAX($N$1:N67)+1,0)</f>
        <v>67</v>
      </c>
      <c r="O68" s="195">
        <f>IF(ISNUMBER(SEARCH('Карта учёта'!$B$23,Расходка[[#This Row],[Наименование расходного материала]])),MAX($O$1:O67)+1,0)</f>
        <v>67</v>
      </c>
      <c r="P68" s="195">
        <f>IF(ISNUMBER(SEARCH('Карта учёта'!$B$24,Расходка[[#This Row],[Наименование расходного материала]])),MAX($P$1:P67)+1,0)</f>
        <v>67</v>
      </c>
      <c r="Q68" s="195">
        <f>IF(ISNUMBER(SEARCH('Карта учёта'!$B$25,Расходка[[#This Row],[Наименование расходного материала]])),MAX($Q$1:Q67)+1,0)</f>
        <v>67</v>
      </c>
      <c r="R68" s="196" t="str">
        <f>IFERROR(INDEX(Расходка[Наименование расходного материала],MATCH(Расходка[[#This Row],[№]],Поиск_расходки[Индекс1],0)),"")</f>
        <v/>
      </c>
      <c r="S68" s="196" t="str">
        <f>IFERROR(INDEX(Расходка[Наименование расходного материала],MATCH(Расходка[[#This Row],[№]],Поиск_расходки[Индекс2],0)),"")</f>
        <v/>
      </c>
      <c r="T68" s="196" t="str">
        <f>IFERROR(INDEX(Расходка[Наименование расходного материала],MATCH(Расходка[[#This Row],[№]],Поиск_расходки[Индекс3],0)),"")</f>
        <v/>
      </c>
      <c r="U68" s="196" t="str">
        <f>IFERROR(INDEX(Расходка[Наименование расходного материала],MATCH(Расходка[[#This Row],[№]],Поиск_расходки[Индекс4],0)),"")</f>
        <v/>
      </c>
      <c r="V68" s="196" t="str">
        <f>IFERROR(INDEX(Расходка[Наименование расходного материала],MATCH(Расходка[[#This Row],[№]],Поиск_расходки[Индекс5],0)),"")</f>
        <v/>
      </c>
      <c r="W68" s="196" t="str">
        <f>IFERROR(INDEX(Расходка[Наименование расходного материала],MATCH(Расходка[[#This Row],[№]],Поиск_расходки[Индекс6],0)),"")</f>
        <v>Telescope ™ II 6F</v>
      </c>
      <c r="X68" s="196" t="str">
        <f>IFERROR(INDEX(Расходка[Наименование расходного материала],MATCH(Расходка[[#This Row],[№]],Поиск_расходки[Индекс7],0)),"")</f>
        <v>Telescope ™ II 6F</v>
      </c>
      <c r="Y68" s="196" t="str">
        <f>IFERROR(INDEX(Расходка[Наименование расходного материала],MATCH(Расходка[[#This Row],[№]],Поиск_расходки[Индекс8],0)),"")</f>
        <v>Telescope ™ II 6F</v>
      </c>
      <c r="Z68" s="196" t="str">
        <f>IFERROR(INDEX(Расходка[Наименование расходного материала],MATCH(Расходка[[#This Row],[№]],Поиск_расходки[Индекс9],0)),"")</f>
        <v>Telescope ™ II 6F</v>
      </c>
      <c r="AA68" s="196" t="str">
        <f>IFERROR(INDEX(Расходка[Наименование расходного материала],MATCH(Расходка[[#This Row],[№]],Поиск_расходки[Индекс10],0)),"")</f>
        <v>Telescope ™ II 6F</v>
      </c>
      <c r="AB68" s="196" t="str">
        <f>IFERROR(INDEX(Расходка[Наименование расходного материала],MATCH(Расходка[[#This Row],[№]],Поиск_расходки[Индекс11],0)),"")</f>
        <v>Telescope ™ II 6F</v>
      </c>
      <c r="AC68" s="196" t="str">
        <f>IFERROR(INDEX(Расходка[Наименование расходного материала],MATCH(Расходка[[#This Row],[№]],Поиск_расходки[Индекс12],0)),"")</f>
        <v>Telescope ™ II 6F</v>
      </c>
      <c r="AD68" s="196" t="str">
        <f>IFERROR(INDEX(Расходка[Наименование расходного материала],MATCH(Расходка[[#This Row],[№]],Поиск_расходки[Индекс13],0)),"")</f>
        <v>Telescope ™ II 6F</v>
      </c>
      <c r="AF68" s="4" t="s">
        <v>6</v>
      </c>
      <c r="AG68" s="4" t="s">
        <v>459</v>
      </c>
    </row>
    <row r="69" spans="1:33">
      <c r="A69">
        <f>ROW(Расходка[[#This Row],[Тип расходного материала ]])-1</f>
        <v>68</v>
      </c>
      <c r="B69" t="s">
        <v>4</v>
      </c>
      <c r="C69" t="s">
        <v>349</v>
      </c>
      <c r="E69" s="195">
        <f>IF(ISNUMBER(SEARCH('Карта учёта'!$B$13,Расходка[[#This Row],[Наименование расходного материала]])),MAX($E$1:E68)+1,0)</f>
        <v>0</v>
      </c>
      <c r="F69" s="195">
        <f>IF(ISNUMBER(SEARCH('Карта учёта'!$B$14,Расходка[[#This Row],[Наименование расходного материала]])),MAX($F$1:F68)+1,0)</f>
        <v>0</v>
      </c>
      <c r="G69" s="195">
        <f>IF(ISNUMBER(SEARCH('Карта учёта'!$B$15,Расходка[[#This Row],[Наименование расходного материала]])),MAX($G$1:G68)+1,0)</f>
        <v>0</v>
      </c>
      <c r="H69" s="195">
        <f>IF(ISNUMBER(SEARCH('Карта учёта'!$B$16,Расходка[[#This Row],[Наименование расходного материала]])),MAX($H$1:H68)+1,0)</f>
        <v>0</v>
      </c>
      <c r="I69" s="195">
        <f>IF(ISNUMBER(SEARCH('Карта учёта'!$B$17,Расходка[[#This Row],[Наименование расходного материала]])),MAX($I$1:I68)+1,0)</f>
        <v>0</v>
      </c>
      <c r="J69" s="195">
        <f>IF(ISNUMBER(SEARCH('Карта учёта'!$B$18,Расходка[[#This Row],[Наименование расходного материала]])),MAX($J$1:J68)+1,0)</f>
        <v>68</v>
      </c>
      <c r="K69" s="195">
        <f>IF(ISNUMBER(SEARCH('Карта учёта'!$B$19,Расходка[[#This Row],[Наименование расходного материала]])),MAX($K$1:K68)+1,0)</f>
        <v>68</v>
      </c>
      <c r="L69" s="195">
        <f>IF(ISNUMBER(SEARCH('Карта учёта'!$B$20,Расходка[[#This Row],[Наименование расходного материала]])),MAX($L$1:L68)+1,0)</f>
        <v>68</v>
      </c>
      <c r="M69" s="195">
        <f>IF(ISNUMBER(SEARCH('Карта учёта'!$B$21,Расходка[[#This Row],[Наименование расходного материала]])),MAX($M$1:M68)+1,0)</f>
        <v>68</v>
      </c>
      <c r="N69" s="195">
        <f>IF(ISNUMBER(SEARCH('Карта учёта'!$B$22,Расходка[[#This Row],[Наименование расходного материала]])),MAX($N$1:N68)+1,0)</f>
        <v>68</v>
      </c>
      <c r="O69" s="195">
        <f>IF(ISNUMBER(SEARCH('Карта учёта'!$B$23,Расходка[[#This Row],[Наименование расходного материала]])),MAX($O$1:O68)+1,0)</f>
        <v>68</v>
      </c>
      <c r="P69" s="195">
        <f>IF(ISNUMBER(SEARCH('Карта учёта'!$B$24,Расходка[[#This Row],[Наименование расходного материала]])),MAX($P$1:P68)+1,0)</f>
        <v>68</v>
      </c>
      <c r="Q69" s="195">
        <f>IF(ISNUMBER(SEARCH('Карта учёта'!$B$25,Расходка[[#This Row],[Наименование расходного материала]])),MAX($Q$1:Q68)+1,0)</f>
        <v>68</v>
      </c>
      <c r="R69" s="196" t="str">
        <f>IFERROR(INDEX(Расходка[Наименование расходного материала],MATCH(Расходка[[#This Row],[№]],Поиск_расходки[Индекс1],0)),"")</f>
        <v/>
      </c>
      <c r="S69" s="196" t="str">
        <f>IFERROR(INDEX(Расходка[Наименование расходного материала],MATCH(Расходка[[#This Row],[№]],Поиск_расходки[Индекс2],0)),"")</f>
        <v/>
      </c>
      <c r="T69" s="196" t="str">
        <f>IFERROR(INDEX(Расходка[Наименование расходного материала],MATCH(Расходка[[#This Row],[№]],Поиск_расходки[Индекс3],0)),"")</f>
        <v/>
      </c>
      <c r="U69" s="196" t="str">
        <f>IFERROR(INDEX(Расходка[Наименование расходного материала],MATCH(Расходка[[#This Row],[№]],Поиск_расходки[Индекс4],0)),"")</f>
        <v/>
      </c>
      <c r="V69" s="196" t="str">
        <f>IFERROR(INDEX(Расходка[Наименование расходного материала],MATCH(Расходка[[#This Row],[№]],Поиск_расходки[Индекс5],0)),"")</f>
        <v/>
      </c>
      <c r="W69" s="196" t="str">
        <f>IFERROR(INDEX(Расходка[Наименование расходного материала],MATCH(Расходка[[#This Row],[№]],Поиск_расходки[Индекс6],0)),"")</f>
        <v>Launcher 6F AL 1</v>
      </c>
      <c r="X69" s="196" t="str">
        <f>IFERROR(INDEX(Расходка[Наименование расходного материала],MATCH(Расходка[[#This Row],[№]],Поиск_расходки[Индекс7],0)),"")</f>
        <v>Launcher 6F AL 1</v>
      </c>
      <c r="Y69" s="196" t="str">
        <f>IFERROR(INDEX(Расходка[Наименование расходного материала],MATCH(Расходка[[#This Row],[№]],Поиск_расходки[Индекс8],0)),"")</f>
        <v>Launcher 6F AL 1</v>
      </c>
      <c r="Z69" s="196" t="str">
        <f>IFERROR(INDEX(Расходка[Наименование расходного материала],MATCH(Расходка[[#This Row],[№]],Поиск_расходки[Индекс9],0)),"")</f>
        <v>Launcher 6F AL 1</v>
      </c>
      <c r="AA69" s="196" t="str">
        <f>IFERROR(INDEX(Расходка[Наименование расходного материала],MATCH(Расходка[[#This Row],[№]],Поиск_расходки[Индекс10],0)),"")</f>
        <v>Launcher 6F AL 1</v>
      </c>
      <c r="AB69" s="196" t="str">
        <f>IFERROR(INDEX(Расходка[Наименование расходного материала],MATCH(Расходка[[#This Row],[№]],Поиск_расходки[Индекс11],0)),"")</f>
        <v>Launcher 6F AL 1</v>
      </c>
      <c r="AC69" s="196" t="str">
        <f>IFERROR(INDEX(Расходка[Наименование расходного материала],MATCH(Расходка[[#This Row],[№]],Поиск_расходки[Индекс12],0)),"")</f>
        <v>Launcher 6F AL 1</v>
      </c>
      <c r="AD69" s="196" t="str">
        <f>IFERROR(INDEX(Расходка[Наименование расходного материала],MATCH(Расходка[[#This Row],[№]],Поиск_расходки[Индекс13],0)),"")</f>
        <v>Launcher 6F AL 1</v>
      </c>
      <c r="AF69" s="4" t="s">
        <v>6</v>
      </c>
      <c r="AG69" s="4" t="s">
        <v>460</v>
      </c>
    </row>
    <row r="70" spans="1:33">
      <c r="A70">
        <f>ROW(Расходка[[#This Row],[Тип расходного материала ]])-1</f>
        <v>69</v>
      </c>
      <c r="B70" t="s">
        <v>4</v>
      </c>
      <c r="C70" t="s">
        <v>350</v>
      </c>
      <c r="E70" s="195">
        <f>IF(ISNUMBER(SEARCH('Карта учёта'!$B$13,Расходка[[#This Row],[Наименование расходного материала]])),MAX($E$1:E69)+1,0)</f>
        <v>0</v>
      </c>
      <c r="F70" s="195">
        <f>IF(ISNUMBER(SEARCH('Карта учёта'!$B$14,Расходка[[#This Row],[Наименование расходного материала]])),MAX($F$1:F69)+1,0)</f>
        <v>0</v>
      </c>
      <c r="G70" s="195">
        <f>IF(ISNUMBER(SEARCH('Карта учёта'!$B$15,Расходка[[#This Row],[Наименование расходного материала]])),MAX($G$1:G69)+1,0)</f>
        <v>0</v>
      </c>
      <c r="H70" s="195">
        <f>IF(ISNUMBER(SEARCH('Карта учёта'!$B$16,Расходка[[#This Row],[Наименование расходного материала]])),MAX($H$1:H69)+1,0)</f>
        <v>0</v>
      </c>
      <c r="I70" s="195">
        <f>IF(ISNUMBER(SEARCH('Карта учёта'!$B$17,Расходка[[#This Row],[Наименование расходного материала]])),MAX($I$1:I69)+1,0)</f>
        <v>0</v>
      </c>
      <c r="J70" s="195">
        <f>IF(ISNUMBER(SEARCH('Карта учёта'!$B$18,Расходка[[#This Row],[Наименование расходного материала]])),MAX($J$1:J69)+1,0)</f>
        <v>69</v>
      </c>
      <c r="K70" s="195">
        <f>IF(ISNUMBER(SEARCH('Карта учёта'!$B$19,Расходка[[#This Row],[Наименование расходного материала]])),MAX($K$1:K69)+1,0)</f>
        <v>69</v>
      </c>
      <c r="L70" s="195">
        <f>IF(ISNUMBER(SEARCH('Карта учёта'!$B$20,Расходка[[#This Row],[Наименование расходного материала]])),MAX($L$1:L69)+1,0)</f>
        <v>69</v>
      </c>
      <c r="M70" s="195">
        <f>IF(ISNUMBER(SEARCH('Карта учёта'!$B$21,Расходка[[#This Row],[Наименование расходного материала]])),MAX($M$1:M69)+1,0)</f>
        <v>69</v>
      </c>
      <c r="N70" s="195">
        <f>IF(ISNUMBER(SEARCH('Карта учёта'!$B$22,Расходка[[#This Row],[Наименование расходного материала]])),MAX($N$1:N69)+1,0)</f>
        <v>69</v>
      </c>
      <c r="O70" s="195">
        <f>IF(ISNUMBER(SEARCH('Карта учёта'!$B$23,Расходка[[#This Row],[Наименование расходного материала]])),MAX($O$1:O69)+1,0)</f>
        <v>69</v>
      </c>
      <c r="P70" s="195">
        <f>IF(ISNUMBER(SEARCH('Карта учёта'!$B$24,Расходка[[#This Row],[Наименование расходного материала]])),MAX($P$1:P69)+1,0)</f>
        <v>69</v>
      </c>
      <c r="Q70" s="195">
        <f>IF(ISNUMBER(SEARCH('Карта учёта'!$B$25,Расходка[[#This Row],[Наименование расходного материала]])),MAX($Q$1:Q69)+1,0)</f>
        <v>69</v>
      </c>
      <c r="R70" s="196" t="str">
        <f>IFERROR(INDEX(Расходка[Наименование расходного материала],MATCH(Расходка[[#This Row],[№]],Поиск_расходки[Индекс1],0)),"")</f>
        <v/>
      </c>
      <c r="S70" s="196" t="str">
        <f>IFERROR(INDEX(Расходка[Наименование расходного материала],MATCH(Расходка[[#This Row],[№]],Поиск_расходки[Индекс2],0)),"")</f>
        <v/>
      </c>
      <c r="T70" s="196" t="str">
        <f>IFERROR(INDEX(Расходка[Наименование расходного материала],MATCH(Расходка[[#This Row],[№]],Поиск_расходки[Индекс3],0)),"")</f>
        <v/>
      </c>
      <c r="U70" s="196" t="str">
        <f>IFERROR(INDEX(Расходка[Наименование расходного материала],MATCH(Расходка[[#This Row],[№]],Поиск_расходки[Индекс4],0)),"")</f>
        <v/>
      </c>
      <c r="V70" s="196" t="str">
        <f>IFERROR(INDEX(Расходка[Наименование расходного материала],MATCH(Расходка[[#This Row],[№]],Поиск_расходки[Индекс5],0)),"")</f>
        <v/>
      </c>
      <c r="W70" s="196" t="str">
        <f>IFERROR(INDEX(Расходка[Наименование расходного материала],MATCH(Расходка[[#This Row],[№]],Поиск_расходки[Индекс6],0)),"")</f>
        <v>Launcher 6F AL 2</v>
      </c>
      <c r="X70" s="196" t="str">
        <f>IFERROR(INDEX(Расходка[Наименование расходного материала],MATCH(Расходка[[#This Row],[№]],Поиск_расходки[Индекс7],0)),"")</f>
        <v>Launcher 6F AL 2</v>
      </c>
      <c r="Y70" s="196" t="str">
        <f>IFERROR(INDEX(Расходка[Наименование расходного материала],MATCH(Расходка[[#This Row],[№]],Поиск_расходки[Индекс8],0)),"")</f>
        <v>Launcher 6F AL 2</v>
      </c>
      <c r="Z70" s="196" t="str">
        <f>IFERROR(INDEX(Расходка[Наименование расходного материала],MATCH(Расходка[[#This Row],[№]],Поиск_расходки[Индекс9],0)),"")</f>
        <v>Launcher 6F AL 2</v>
      </c>
      <c r="AA70" s="196" t="str">
        <f>IFERROR(INDEX(Расходка[Наименование расходного материала],MATCH(Расходка[[#This Row],[№]],Поиск_расходки[Индекс10],0)),"")</f>
        <v>Launcher 6F AL 2</v>
      </c>
      <c r="AB70" s="196" t="str">
        <f>IFERROR(INDEX(Расходка[Наименование расходного материала],MATCH(Расходка[[#This Row],[№]],Поиск_расходки[Индекс11],0)),"")</f>
        <v>Launcher 6F AL 2</v>
      </c>
      <c r="AC70" s="196" t="str">
        <f>IFERROR(INDEX(Расходка[Наименование расходного материала],MATCH(Расходка[[#This Row],[№]],Поиск_расходки[Индекс12],0)),"")</f>
        <v>Launcher 6F AL 2</v>
      </c>
      <c r="AD70" s="196" t="str">
        <f>IFERROR(INDEX(Расходка[Наименование расходного материала],MATCH(Расходка[[#This Row],[№]],Поиск_расходки[Индекс13],0)),"")</f>
        <v>Launcher 6F AL 2</v>
      </c>
      <c r="AF70" s="4" t="s">
        <v>6</v>
      </c>
      <c r="AG70" s="4" t="s">
        <v>461</v>
      </c>
    </row>
    <row r="71" spans="1:33">
      <c r="A71">
        <f>ROW(Расходка[[#This Row],[Тип расходного материала ]])-1</f>
        <v>70</v>
      </c>
      <c r="B71" t="s">
        <v>4</v>
      </c>
      <c r="C71" t="s">
        <v>324</v>
      </c>
      <c r="E71" s="195">
        <f>IF(ISNUMBER(SEARCH('Карта учёта'!$B$13,Расходка[[#This Row],[Наименование расходного материала]])),MAX($E$1:E70)+1,0)</f>
        <v>0</v>
      </c>
      <c r="F71" s="195">
        <f>IF(ISNUMBER(SEARCH('Карта учёта'!$B$14,Расходка[[#This Row],[Наименование расходного материала]])),MAX($F$1:F70)+1,0)</f>
        <v>0</v>
      </c>
      <c r="G71" s="195">
        <f>IF(ISNUMBER(SEARCH('Карта учёта'!$B$15,Расходка[[#This Row],[Наименование расходного материала]])),MAX($G$1:G70)+1,0)</f>
        <v>0</v>
      </c>
      <c r="H71" s="195">
        <f>IF(ISNUMBER(SEARCH('Карта учёта'!$B$16,Расходка[[#This Row],[Наименование расходного материала]])),MAX($H$1:H70)+1,0)</f>
        <v>1</v>
      </c>
      <c r="I71" s="195">
        <f>IF(ISNUMBER(SEARCH('Карта учёта'!$B$17,Расходка[[#This Row],[Наименование расходного материала]])),MAX($I$1:I70)+1,0)</f>
        <v>0</v>
      </c>
      <c r="J71" s="195">
        <f>IF(ISNUMBER(SEARCH('Карта учёта'!$B$18,Расходка[[#This Row],[Наименование расходного материала]])),MAX($J$1:J70)+1,0)</f>
        <v>70</v>
      </c>
      <c r="K71" s="195">
        <f>IF(ISNUMBER(SEARCH('Карта учёта'!$B$19,Расходка[[#This Row],[Наименование расходного материала]])),MAX($K$1:K70)+1,0)</f>
        <v>70</v>
      </c>
      <c r="L71" s="195">
        <f>IF(ISNUMBER(SEARCH('Карта учёта'!$B$20,Расходка[[#This Row],[Наименование расходного материала]])),MAX($L$1:L70)+1,0)</f>
        <v>70</v>
      </c>
      <c r="M71" s="195">
        <f>IF(ISNUMBER(SEARCH('Карта учёта'!$B$21,Расходка[[#This Row],[Наименование расходного материала]])),MAX($M$1:M70)+1,0)</f>
        <v>70</v>
      </c>
      <c r="N71" s="195">
        <f>IF(ISNUMBER(SEARCH('Карта учёта'!$B$22,Расходка[[#This Row],[Наименование расходного материала]])),MAX($N$1:N70)+1,0)</f>
        <v>70</v>
      </c>
      <c r="O71" s="195">
        <f>IF(ISNUMBER(SEARCH('Карта учёта'!$B$23,Расходка[[#This Row],[Наименование расходного материала]])),MAX($O$1:O70)+1,0)</f>
        <v>70</v>
      </c>
      <c r="P71" s="195">
        <f>IF(ISNUMBER(SEARCH('Карта учёта'!$B$24,Расходка[[#This Row],[Наименование расходного материала]])),MAX($P$1:P70)+1,0)</f>
        <v>70</v>
      </c>
      <c r="Q71" s="195">
        <f>IF(ISNUMBER(SEARCH('Карта учёта'!$B$25,Расходка[[#This Row],[Наименование расходного материала]])),MAX($Q$1:Q70)+1,0)</f>
        <v>70</v>
      </c>
      <c r="R71" s="196" t="str">
        <f>IFERROR(INDEX(Расходка[Наименование расходного материала],MATCH(Расходка[[#This Row],[№]],Поиск_расходки[Индекс1],0)),"")</f>
        <v/>
      </c>
      <c r="S71" s="196" t="str">
        <f>IFERROR(INDEX(Расходка[Наименование расходного материала],MATCH(Расходка[[#This Row],[№]],Поиск_расходки[Индекс2],0)),"")</f>
        <v/>
      </c>
      <c r="T71" s="196" t="str">
        <f>IFERROR(INDEX(Расходка[Наименование расходного материала],MATCH(Расходка[[#This Row],[№]],Поиск_расходки[Индекс3],0)),"")</f>
        <v/>
      </c>
      <c r="U71" s="196" t="str">
        <f>IFERROR(INDEX(Расходка[Наименование расходного материала],MATCH(Расходка[[#This Row],[№]],Поиск_расходки[Индекс4],0)),"")</f>
        <v/>
      </c>
      <c r="V71" s="196" t="str">
        <f>IFERROR(INDEX(Расходка[Наименование расходного материала],MATCH(Расходка[[#This Row],[№]],Поиск_расходки[Индекс5],0)),"")</f>
        <v/>
      </c>
      <c r="W71" s="196" t="str">
        <f>IFERROR(INDEX(Расходка[Наименование расходного материала],MATCH(Расходка[[#This Row],[№]],Поиск_расходки[Индекс6],0)),"")</f>
        <v>Launcher 6F EBU 3.5</v>
      </c>
      <c r="X71" s="196" t="str">
        <f>IFERROR(INDEX(Расходка[Наименование расходного материала],MATCH(Расходка[[#This Row],[№]],Поиск_расходки[Индекс7],0)),"")</f>
        <v>Launcher 6F EBU 3.5</v>
      </c>
      <c r="Y71" s="196" t="str">
        <f>IFERROR(INDEX(Расходка[Наименование расходного материала],MATCH(Расходка[[#This Row],[№]],Поиск_расходки[Индекс8],0)),"")</f>
        <v>Launcher 6F EBU 3.5</v>
      </c>
      <c r="Z71" s="196" t="str">
        <f>IFERROR(INDEX(Расходка[Наименование расходного материала],MATCH(Расходка[[#This Row],[№]],Поиск_расходки[Индекс9],0)),"")</f>
        <v>Launcher 6F EBU 3.5</v>
      </c>
      <c r="AA71" s="196" t="str">
        <f>IFERROR(INDEX(Расходка[Наименование расходного материала],MATCH(Расходка[[#This Row],[№]],Поиск_расходки[Индекс10],0)),"")</f>
        <v>Launcher 6F EBU 3.5</v>
      </c>
      <c r="AB71" s="196" t="str">
        <f>IFERROR(INDEX(Расходка[Наименование расходного материала],MATCH(Расходка[[#This Row],[№]],Поиск_расходки[Индекс11],0)),"")</f>
        <v>Launcher 6F EBU 3.5</v>
      </c>
      <c r="AC71" s="196" t="str">
        <f>IFERROR(INDEX(Расходка[Наименование расходного материала],MATCH(Расходка[[#This Row],[№]],Поиск_расходки[Индекс12],0)),"")</f>
        <v>Launcher 6F EBU 3.5</v>
      </c>
      <c r="AD71" s="196" t="str">
        <f>IFERROR(INDEX(Расходка[Наименование расходного материала],MATCH(Расходка[[#This Row],[№]],Поиск_расходки[Индекс13],0)),"")</f>
        <v>Launcher 6F EBU 3.5</v>
      </c>
      <c r="AF71" s="4" t="s">
        <v>6</v>
      </c>
      <c r="AG71" s="4" t="s">
        <v>416</v>
      </c>
    </row>
    <row r="72" spans="1:33">
      <c r="A72">
        <f>ROW(Расходка[[#This Row],[Тип расходного материала ]])-1</f>
        <v>71</v>
      </c>
      <c r="B72" t="s">
        <v>4</v>
      </c>
      <c r="C72" t="s">
        <v>325</v>
      </c>
      <c r="E72" s="195">
        <f>IF(ISNUMBER(SEARCH('Карта учёта'!$B$13,Расходка[[#This Row],[Наименование расходного материала]])),MAX($E$1:E71)+1,0)</f>
        <v>0</v>
      </c>
      <c r="F72" s="195">
        <f>IF(ISNUMBER(SEARCH('Карта учёта'!$B$14,Расходка[[#This Row],[Наименование расходного материала]])),MAX($F$1:F71)+1,0)</f>
        <v>0</v>
      </c>
      <c r="G72" s="195">
        <f>IF(ISNUMBER(SEARCH('Карта учёта'!$B$15,Расходка[[#This Row],[Наименование расходного материала]])),MAX($G$1:G71)+1,0)</f>
        <v>0</v>
      </c>
      <c r="H72" s="195">
        <f>IF(ISNUMBER(SEARCH('Карта учёта'!$B$16,Расходка[[#This Row],[Наименование расходного материала]])),MAX($H$1:H71)+1,0)</f>
        <v>0</v>
      </c>
      <c r="I72" s="195">
        <f>IF(ISNUMBER(SEARCH('Карта учёта'!$B$17,Расходка[[#This Row],[Наименование расходного материала]])),MAX($I$1:I71)+1,0)</f>
        <v>0</v>
      </c>
      <c r="J72" s="195">
        <f>IF(ISNUMBER(SEARCH('Карта учёта'!$B$18,Расходка[[#This Row],[Наименование расходного материала]])),MAX($J$1:J71)+1,0)</f>
        <v>71</v>
      </c>
      <c r="K72" s="195">
        <f>IF(ISNUMBER(SEARCH('Карта учёта'!$B$19,Расходка[[#This Row],[Наименование расходного материала]])),MAX($K$1:K71)+1,0)</f>
        <v>71</v>
      </c>
      <c r="L72" s="195">
        <f>IF(ISNUMBER(SEARCH('Карта учёта'!$B$20,Расходка[[#This Row],[Наименование расходного материала]])),MAX($L$1:L71)+1,0)</f>
        <v>71</v>
      </c>
      <c r="M72" s="195">
        <f>IF(ISNUMBER(SEARCH('Карта учёта'!$B$21,Расходка[[#This Row],[Наименование расходного материала]])),MAX($M$1:M71)+1,0)</f>
        <v>71</v>
      </c>
      <c r="N72" s="195">
        <f>IF(ISNUMBER(SEARCH('Карта учёта'!$B$22,Расходка[[#This Row],[Наименование расходного материала]])),MAX($N$1:N71)+1,0)</f>
        <v>71</v>
      </c>
      <c r="O72" s="195">
        <f>IF(ISNUMBER(SEARCH('Карта учёта'!$B$23,Расходка[[#This Row],[Наименование расходного материала]])),MAX($O$1:O71)+1,0)</f>
        <v>71</v>
      </c>
      <c r="P72" s="195">
        <f>IF(ISNUMBER(SEARCH('Карта учёта'!$B$24,Расходка[[#This Row],[Наименование расходного материала]])),MAX($P$1:P71)+1,0)</f>
        <v>71</v>
      </c>
      <c r="Q72" s="195">
        <f>IF(ISNUMBER(SEARCH('Карта учёта'!$B$25,Расходка[[#This Row],[Наименование расходного материала]])),MAX($Q$1:Q71)+1,0)</f>
        <v>71</v>
      </c>
      <c r="R72" s="196" t="str">
        <f>IFERROR(INDEX(Расходка[Наименование расходного материала],MATCH(Расходка[[#This Row],[№]],Поиск_расходки[Индекс1],0)),"")</f>
        <v/>
      </c>
      <c r="S72" s="196" t="str">
        <f>IFERROR(INDEX(Расходка[Наименование расходного материала],MATCH(Расходка[[#This Row],[№]],Поиск_расходки[Индекс2],0)),"")</f>
        <v/>
      </c>
      <c r="T72" s="196" t="str">
        <f>IFERROR(INDEX(Расходка[Наименование расходного материала],MATCH(Расходка[[#This Row],[№]],Поиск_расходки[Индекс3],0)),"")</f>
        <v/>
      </c>
      <c r="U72" s="196" t="str">
        <f>IFERROR(INDEX(Расходка[Наименование расходного материала],MATCH(Расходка[[#This Row],[№]],Поиск_расходки[Индекс4],0)),"")</f>
        <v/>
      </c>
      <c r="V72" s="196" t="str">
        <f>IFERROR(INDEX(Расходка[Наименование расходного материала],MATCH(Расходка[[#This Row],[№]],Поиск_расходки[Индекс5],0)),"")</f>
        <v/>
      </c>
      <c r="W72" s="196" t="str">
        <f>IFERROR(INDEX(Расходка[Наименование расходного материала],MATCH(Расходка[[#This Row],[№]],Поиск_расходки[Индекс6],0)),"")</f>
        <v>Launcher 6F EBU 4.0</v>
      </c>
      <c r="X72" s="196" t="str">
        <f>IFERROR(INDEX(Расходка[Наименование расходного материала],MATCH(Расходка[[#This Row],[№]],Поиск_расходки[Индекс7],0)),"")</f>
        <v>Launcher 6F EBU 4.0</v>
      </c>
      <c r="Y72" s="196" t="str">
        <f>IFERROR(INDEX(Расходка[Наименование расходного материала],MATCH(Расходка[[#This Row],[№]],Поиск_расходки[Индекс8],0)),"")</f>
        <v>Launcher 6F EBU 4.0</v>
      </c>
      <c r="Z72" s="196" t="str">
        <f>IFERROR(INDEX(Расходка[Наименование расходного материала],MATCH(Расходка[[#This Row],[№]],Поиск_расходки[Индекс9],0)),"")</f>
        <v>Launcher 6F EBU 4.0</v>
      </c>
      <c r="AA72" s="196" t="str">
        <f>IFERROR(INDEX(Расходка[Наименование расходного материала],MATCH(Расходка[[#This Row],[№]],Поиск_расходки[Индекс10],0)),"")</f>
        <v>Launcher 6F EBU 4.0</v>
      </c>
      <c r="AB72" s="196" t="str">
        <f>IFERROR(INDEX(Расходка[Наименование расходного материала],MATCH(Расходка[[#This Row],[№]],Поиск_расходки[Индекс11],0)),"")</f>
        <v>Launcher 6F EBU 4.0</v>
      </c>
      <c r="AC72" s="196" t="str">
        <f>IFERROR(INDEX(Расходка[Наименование расходного материала],MATCH(Расходка[[#This Row],[№]],Поиск_расходки[Индекс12],0)),"")</f>
        <v>Launcher 6F EBU 4.0</v>
      </c>
      <c r="AD72" s="196" t="str">
        <f>IFERROR(INDEX(Расходка[Наименование расходного материала],MATCH(Расходка[[#This Row],[№]],Поиск_расходки[Индекс13],0)),"")</f>
        <v>Launcher 6F EBU 4.0</v>
      </c>
      <c r="AF72" s="4" t="s">
        <v>6</v>
      </c>
      <c r="AG72" s="4" t="s">
        <v>462</v>
      </c>
    </row>
    <row r="73" spans="1:33">
      <c r="A73">
        <f>ROW(Расходка[[#This Row],[Тип расходного материала ]])-1</f>
        <v>72</v>
      </c>
      <c r="B73" t="s">
        <v>4</v>
      </c>
      <c r="C73" t="s">
        <v>326</v>
      </c>
      <c r="E73" s="195">
        <f>IF(ISNUMBER(SEARCH('Карта учёта'!$B$13,Расходка[[#This Row],[Наименование расходного материала]])),MAX($E$1:E72)+1,0)</f>
        <v>0</v>
      </c>
      <c r="F73" s="195">
        <f>IF(ISNUMBER(SEARCH('Карта учёта'!$B$14,Расходка[[#This Row],[Наименование расходного материала]])),MAX($F$1:F72)+1,0)</f>
        <v>0</v>
      </c>
      <c r="G73" s="195">
        <f>IF(ISNUMBER(SEARCH('Карта учёта'!$B$15,Расходка[[#This Row],[Наименование расходного материала]])),MAX($G$1:G72)+1,0)</f>
        <v>0</v>
      </c>
      <c r="H73" s="195">
        <f>IF(ISNUMBER(SEARCH('Карта учёта'!$B$16,Расходка[[#This Row],[Наименование расходного материала]])),MAX($H$1:H72)+1,0)</f>
        <v>0</v>
      </c>
      <c r="I73" s="195">
        <f>IF(ISNUMBER(SEARCH('Карта учёта'!$B$17,Расходка[[#This Row],[Наименование расходного материала]])),MAX($I$1:I72)+1,0)</f>
        <v>0</v>
      </c>
      <c r="J73" s="195">
        <f>IF(ISNUMBER(SEARCH('Карта учёта'!$B$18,Расходка[[#This Row],[Наименование расходного материала]])),MAX($J$1:J72)+1,0)</f>
        <v>72</v>
      </c>
      <c r="K73" s="195">
        <f>IF(ISNUMBER(SEARCH('Карта учёта'!$B$19,Расходка[[#This Row],[Наименование расходного материала]])),MAX($K$1:K72)+1,0)</f>
        <v>72</v>
      </c>
      <c r="L73" s="195">
        <f>IF(ISNUMBER(SEARCH('Карта учёта'!$B$20,Расходка[[#This Row],[Наименование расходного материала]])),MAX($L$1:L72)+1,0)</f>
        <v>72</v>
      </c>
      <c r="M73" s="195">
        <f>IF(ISNUMBER(SEARCH('Карта учёта'!$B$21,Расходка[[#This Row],[Наименование расходного материала]])),MAX($M$1:M72)+1,0)</f>
        <v>72</v>
      </c>
      <c r="N73" s="195">
        <f>IF(ISNUMBER(SEARCH('Карта учёта'!$B$22,Расходка[[#This Row],[Наименование расходного материала]])),MAX($N$1:N72)+1,0)</f>
        <v>72</v>
      </c>
      <c r="O73" s="195">
        <f>IF(ISNUMBER(SEARCH('Карта учёта'!$B$23,Расходка[[#This Row],[Наименование расходного материала]])),MAX($O$1:O72)+1,0)</f>
        <v>72</v>
      </c>
      <c r="P73" s="195">
        <f>IF(ISNUMBER(SEARCH('Карта учёта'!$B$24,Расходка[[#This Row],[Наименование расходного материала]])),MAX($P$1:P72)+1,0)</f>
        <v>72</v>
      </c>
      <c r="Q73" s="195">
        <f>IF(ISNUMBER(SEARCH('Карта учёта'!$B$25,Расходка[[#This Row],[Наименование расходного материала]])),MAX($Q$1:Q72)+1,0)</f>
        <v>72</v>
      </c>
      <c r="R73" s="196" t="str">
        <f>IFERROR(INDEX(Расходка[Наименование расходного материала],MATCH(Расходка[[#This Row],[№]],Поиск_расходки[Индекс1],0)),"")</f>
        <v/>
      </c>
      <c r="S73" s="196" t="str">
        <f>IFERROR(INDEX(Расходка[Наименование расходного материала],MATCH(Расходка[[#This Row],[№]],Поиск_расходки[Индекс2],0)),"")</f>
        <v/>
      </c>
      <c r="T73" s="196" t="str">
        <f>IFERROR(INDEX(Расходка[Наименование расходного материала],MATCH(Расходка[[#This Row],[№]],Поиск_расходки[Индекс3],0)),"")</f>
        <v/>
      </c>
      <c r="U73" s="196" t="str">
        <f>IFERROR(INDEX(Расходка[Наименование расходного материала],MATCH(Расходка[[#This Row],[№]],Поиск_расходки[Индекс4],0)),"")</f>
        <v/>
      </c>
      <c r="V73" s="196" t="str">
        <f>IFERROR(INDEX(Расходка[Наименование расходного материала],MATCH(Расходка[[#This Row],[№]],Поиск_расходки[Индекс5],0)),"")</f>
        <v/>
      </c>
      <c r="W73" s="196" t="str">
        <f>IFERROR(INDEX(Расходка[Наименование расходного материала],MATCH(Расходка[[#This Row],[№]],Поиск_расходки[Индекс6],0)),"")</f>
        <v>Launcher 6F JL 3.5</v>
      </c>
      <c r="X73" s="196" t="str">
        <f>IFERROR(INDEX(Расходка[Наименование расходного материала],MATCH(Расходка[[#This Row],[№]],Поиск_расходки[Индекс7],0)),"")</f>
        <v>Launcher 6F JL 3.5</v>
      </c>
      <c r="Y73" s="196" t="str">
        <f>IFERROR(INDEX(Расходка[Наименование расходного материала],MATCH(Расходка[[#This Row],[№]],Поиск_расходки[Индекс8],0)),"")</f>
        <v>Launcher 6F JL 3.5</v>
      </c>
      <c r="Z73" s="196" t="str">
        <f>IFERROR(INDEX(Расходка[Наименование расходного материала],MATCH(Расходка[[#This Row],[№]],Поиск_расходки[Индекс9],0)),"")</f>
        <v>Launcher 6F JL 3.5</v>
      </c>
      <c r="AA73" s="196" t="str">
        <f>IFERROR(INDEX(Расходка[Наименование расходного материала],MATCH(Расходка[[#This Row],[№]],Поиск_расходки[Индекс10],0)),"")</f>
        <v>Launcher 6F JL 3.5</v>
      </c>
      <c r="AB73" s="196" t="str">
        <f>IFERROR(INDEX(Расходка[Наименование расходного материала],MATCH(Расходка[[#This Row],[№]],Поиск_расходки[Индекс11],0)),"")</f>
        <v>Launcher 6F JL 3.5</v>
      </c>
      <c r="AC73" s="196" t="str">
        <f>IFERROR(INDEX(Расходка[Наименование расходного материала],MATCH(Расходка[[#This Row],[№]],Поиск_расходки[Индекс12],0)),"")</f>
        <v>Launcher 6F JL 3.5</v>
      </c>
      <c r="AD73" s="196" t="str">
        <f>IFERROR(INDEX(Расходка[Наименование расходного материала],MATCH(Расходка[[#This Row],[№]],Поиск_расходки[Индекс13],0)),"")</f>
        <v>Launcher 6F JL 3.5</v>
      </c>
      <c r="AF73" s="4" t="s">
        <v>6</v>
      </c>
      <c r="AG73" s="4" t="s">
        <v>417</v>
      </c>
    </row>
    <row r="74" spans="1:33">
      <c r="A74">
        <f>ROW(Расходка[[#This Row],[Тип расходного материала ]])-1</f>
        <v>73</v>
      </c>
      <c r="B74" t="s">
        <v>4</v>
      </c>
      <c r="C74" t="s">
        <v>327</v>
      </c>
      <c r="E74" s="195">
        <f>IF(ISNUMBER(SEARCH('Карта учёта'!$B$13,Расходка[[#This Row],[Наименование расходного материала]])),MAX($E$1:E73)+1,0)</f>
        <v>0</v>
      </c>
      <c r="F74" s="195">
        <f>IF(ISNUMBER(SEARCH('Карта учёта'!$B$14,Расходка[[#This Row],[Наименование расходного материала]])),MAX($F$1:F73)+1,0)</f>
        <v>1</v>
      </c>
      <c r="G74" s="195">
        <f>IF(ISNUMBER(SEARCH('Карта учёта'!$B$15,Расходка[[#This Row],[Наименование расходного материала]])),MAX($G$1:G73)+1,0)</f>
        <v>0</v>
      </c>
      <c r="H74" s="195">
        <f>IF(ISNUMBER(SEARCH('Карта учёта'!$B$16,Расходка[[#This Row],[Наименование расходного материала]])),MAX($H$1:H73)+1,0)</f>
        <v>0</v>
      </c>
      <c r="I74" s="195">
        <f>IF(ISNUMBER(SEARCH('Карта учёта'!$B$17,Расходка[[#This Row],[Наименование расходного материала]])),MAX($I$1:I73)+1,0)</f>
        <v>0</v>
      </c>
      <c r="J74" s="195">
        <f>IF(ISNUMBER(SEARCH('Карта учёта'!$B$18,Расходка[[#This Row],[Наименование расходного материала]])),MAX($J$1:J73)+1,0)</f>
        <v>73</v>
      </c>
      <c r="K74" s="195">
        <f>IF(ISNUMBER(SEARCH('Карта учёта'!$B$19,Расходка[[#This Row],[Наименование расходного материала]])),MAX($K$1:K73)+1,0)</f>
        <v>73</v>
      </c>
      <c r="L74" s="195">
        <f>IF(ISNUMBER(SEARCH('Карта учёта'!$B$20,Расходка[[#This Row],[Наименование расходного материала]])),MAX($L$1:L73)+1,0)</f>
        <v>73</v>
      </c>
      <c r="M74" s="195">
        <f>IF(ISNUMBER(SEARCH('Карта учёта'!$B$21,Расходка[[#This Row],[Наименование расходного материала]])),MAX($M$1:M73)+1,0)</f>
        <v>73</v>
      </c>
      <c r="N74" s="195">
        <f>IF(ISNUMBER(SEARCH('Карта учёта'!$B$22,Расходка[[#This Row],[Наименование расходного материала]])),MAX($N$1:N73)+1,0)</f>
        <v>73</v>
      </c>
      <c r="O74" s="195">
        <f>IF(ISNUMBER(SEARCH('Карта учёта'!$B$23,Расходка[[#This Row],[Наименование расходного материала]])),MAX($O$1:O73)+1,0)</f>
        <v>73</v>
      </c>
      <c r="P74" s="195">
        <f>IF(ISNUMBER(SEARCH('Карта учёта'!$B$24,Расходка[[#This Row],[Наименование расходного материала]])),MAX($P$1:P73)+1,0)</f>
        <v>73</v>
      </c>
      <c r="Q74" s="195">
        <f>IF(ISNUMBER(SEARCH('Карта учёта'!$B$25,Расходка[[#This Row],[Наименование расходного материала]])),MAX($Q$1:Q73)+1,0)</f>
        <v>73</v>
      </c>
      <c r="R74" s="196" t="str">
        <f>IFERROR(INDEX(Расходка[Наименование расходного материала],MATCH(Расходка[[#This Row],[№]],Поиск_расходки[Индекс1],0)),"")</f>
        <v/>
      </c>
      <c r="S74" s="196" t="str">
        <f>IFERROR(INDEX(Расходка[Наименование расходного материала],MATCH(Расходка[[#This Row],[№]],Поиск_расходки[Индекс2],0)),"")</f>
        <v/>
      </c>
      <c r="T74" s="196" t="str">
        <f>IFERROR(INDEX(Расходка[Наименование расходного материала],MATCH(Расходка[[#This Row],[№]],Поиск_расходки[Индекс3],0)),"")</f>
        <v/>
      </c>
      <c r="U74" s="196" t="str">
        <f>IFERROR(INDEX(Расходка[Наименование расходного материала],MATCH(Расходка[[#This Row],[№]],Поиск_расходки[Индекс4],0)),"")</f>
        <v/>
      </c>
      <c r="V74" s="196" t="str">
        <f>IFERROR(INDEX(Расходка[Наименование расходного материала],MATCH(Расходка[[#This Row],[№]],Поиск_расходки[Индекс5],0)),"")</f>
        <v/>
      </c>
      <c r="W74" s="196" t="str">
        <f>IFERROR(INDEX(Расходка[Наименование расходного материала],MATCH(Расходка[[#This Row],[№]],Поиск_расходки[Индекс6],0)),"")</f>
        <v>Launcher 6F JL 4.0</v>
      </c>
      <c r="X74" s="196" t="str">
        <f>IFERROR(INDEX(Расходка[Наименование расходного материала],MATCH(Расходка[[#This Row],[№]],Поиск_расходки[Индекс7],0)),"")</f>
        <v>Launcher 6F JL 4.0</v>
      </c>
      <c r="Y74" s="196" t="str">
        <f>IFERROR(INDEX(Расходка[Наименование расходного материала],MATCH(Расходка[[#This Row],[№]],Поиск_расходки[Индекс8],0)),"")</f>
        <v>Launcher 6F JL 4.0</v>
      </c>
      <c r="Z74" s="196" t="str">
        <f>IFERROR(INDEX(Расходка[Наименование расходного материала],MATCH(Расходка[[#This Row],[№]],Поиск_расходки[Индекс9],0)),"")</f>
        <v>Launcher 6F JL 4.0</v>
      </c>
      <c r="AA74" s="196" t="str">
        <f>IFERROR(INDEX(Расходка[Наименование расходного материала],MATCH(Расходка[[#This Row],[№]],Поиск_расходки[Индекс10],0)),"")</f>
        <v>Launcher 6F JL 4.0</v>
      </c>
      <c r="AB74" s="196" t="str">
        <f>IFERROR(INDEX(Расходка[Наименование расходного материала],MATCH(Расходка[[#This Row],[№]],Поиск_расходки[Индекс11],0)),"")</f>
        <v>Launcher 6F JL 4.0</v>
      </c>
      <c r="AC74" s="196" t="str">
        <f>IFERROR(INDEX(Расходка[Наименование расходного материала],MATCH(Расходка[[#This Row],[№]],Поиск_расходки[Индекс12],0)),"")</f>
        <v>Launcher 6F JL 4.0</v>
      </c>
      <c r="AD74" s="196" t="str">
        <f>IFERROR(INDEX(Расходка[Наименование расходного материала],MATCH(Расходка[[#This Row],[№]],Поиск_расходки[Индекс13],0)),"")</f>
        <v>Launcher 6F JL 4.0</v>
      </c>
      <c r="AF74" s="4" t="s">
        <v>6</v>
      </c>
      <c r="AG74" s="4" t="s">
        <v>463</v>
      </c>
    </row>
    <row r="75" spans="1:33">
      <c r="A75">
        <f>ROW(Расходка[[#This Row],[Тип расходного материала ]])-1</f>
        <v>74</v>
      </c>
      <c r="B75" t="s">
        <v>4</v>
      </c>
      <c r="C75" t="s">
        <v>333</v>
      </c>
      <c r="E75" s="195">
        <f>IF(ISNUMBER(SEARCH('Карта учёта'!$B$13,Расходка[[#This Row],[Наименование расходного материала]])),MAX($E$1:E74)+1,0)</f>
        <v>0</v>
      </c>
      <c r="F75" s="195">
        <f>IF(ISNUMBER(SEARCH('Карта учёта'!$B$14,Расходка[[#This Row],[Наименование расходного материала]])),MAX($F$1:F74)+1,0)</f>
        <v>0</v>
      </c>
      <c r="G75" s="195">
        <f>IF(ISNUMBER(SEARCH('Карта учёта'!$B$15,Расходка[[#This Row],[Наименование расходного материала]])),MAX($G$1:G74)+1,0)</f>
        <v>0</v>
      </c>
      <c r="H75" s="195">
        <f>IF(ISNUMBER(SEARCH('Карта учёта'!$B$16,Расходка[[#This Row],[Наименование расходного материала]])),MAX($H$1:H74)+1,0)</f>
        <v>0</v>
      </c>
      <c r="I75" s="195">
        <f>IF(ISNUMBER(SEARCH('Карта учёта'!$B$17,Расходка[[#This Row],[Наименование расходного материала]])),MAX($I$1:I74)+1,0)</f>
        <v>0</v>
      </c>
      <c r="J75" s="195">
        <f>IF(ISNUMBER(SEARCH('Карта учёта'!$B$18,Расходка[[#This Row],[Наименование расходного материала]])),MAX($J$1:J74)+1,0)</f>
        <v>74</v>
      </c>
      <c r="K75" s="195">
        <f>IF(ISNUMBER(SEARCH('Карта учёта'!$B$19,Расходка[[#This Row],[Наименование расходного материала]])),MAX($K$1:K74)+1,0)</f>
        <v>74</v>
      </c>
      <c r="L75" s="195">
        <f>IF(ISNUMBER(SEARCH('Карта учёта'!$B$20,Расходка[[#This Row],[Наименование расходного материала]])),MAX($L$1:L74)+1,0)</f>
        <v>74</v>
      </c>
      <c r="M75" s="195">
        <f>IF(ISNUMBER(SEARCH('Карта учёта'!$B$21,Расходка[[#This Row],[Наименование расходного материала]])),MAX($M$1:M74)+1,0)</f>
        <v>74</v>
      </c>
      <c r="N75" s="195">
        <f>IF(ISNUMBER(SEARCH('Карта учёта'!$B$22,Расходка[[#This Row],[Наименование расходного материала]])),MAX($N$1:N74)+1,0)</f>
        <v>74</v>
      </c>
      <c r="O75" s="195">
        <f>IF(ISNUMBER(SEARCH('Карта учёта'!$B$23,Расходка[[#This Row],[Наименование расходного материала]])),MAX($O$1:O74)+1,0)</f>
        <v>74</v>
      </c>
      <c r="P75" s="195">
        <f>IF(ISNUMBER(SEARCH('Карта учёта'!$B$24,Расходка[[#This Row],[Наименование расходного материала]])),MAX($P$1:P74)+1,0)</f>
        <v>74</v>
      </c>
      <c r="Q75" s="195">
        <f>IF(ISNUMBER(SEARCH('Карта учёта'!$B$25,Расходка[[#This Row],[Наименование расходного материала]])),MAX($Q$1:Q74)+1,0)</f>
        <v>74</v>
      </c>
      <c r="R75" s="196" t="str">
        <f>IFERROR(INDEX(Расходка[Наименование расходного материала],MATCH(Расходка[[#This Row],[№]],Поиск_расходки[Индекс1],0)),"")</f>
        <v/>
      </c>
      <c r="S75" s="196" t="str">
        <f>IFERROR(INDEX(Расходка[Наименование расходного материала],MATCH(Расходка[[#This Row],[№]],Поиск_расходки[Индекс2],0)),"")</f>
        <v/>
      </c>
      <c r="T75" s="196" t="str">
        <f>IFERROR(INDEX(Расходка[Наименование расходного материала],MATCH(Расходка[[#This Row],[№]],Поиск_расходки[Индекс3],0)),"")</f>
        <v/>
      </c>
      <c r="U75" s="196" t="str">
        <f>IFERROR(INDEX(Расходка[Наименование расходного материала],MATCH(Расходка[[#This Row],[№]],Поиск_расходки[Индекс4],0)),"")</f>
        <v/>
      </c>
      <c r="V75" s="196" t="str">
        <f>IFERROR(INDEX(Расходка[Наименование расходного материала],MATCH(Расходка[[#This Row],[№]],Поиск_расходки[Индекс5],0)),"")</f>
        <v/>
      </c>
      <c r="W75" s="196" t="str">
        <f>IFERROR(INDEX(Расходка[Наименование расходного материала],MATCH(Расходка[[#This Row],[№]],Поиск_расходки[Индекс6],0)),"")</f>
        <v>Launcher 6F JL 4.5</v>
      </c>
      <c r="X75" s="196" t="str">
        <f>IFERROR(INDEX(Расходка[Наименование расходного материала],MATCH(Расходка[[#This Row],[№]],Поиск_расходки[Индекс7],0)),"")</f>
        <v>Launcher 6F JL 4.5</v>
      </c>
      <c r="Y75" s="196" t="str">
        <f>IFERROR(INDEX(Расходка[Наименование расходного материала],MATCH(Расходка[[#This Row],[№]],Поиск_расходки[Индекс8],0)),"")</f>
        <v>Launcher 6F JL 4.5</v>
      </c>
      <c r="Z75" s="196" t="str">
        <f>IFERROR(INDEX(Расходка[Наименование расходного материала],MATCH(Расходка[[#This Row],[№]],Поиск_расходки[Индекс9],0)),"")</f>
        <v>Launcher 6F JL 4.5</v>
      </c>
      <c r="AA75" s="196" t="str">
        <f>IFERROR(INDEX(Расходка[Наименование расходного материала],MATCH(Расходка[[#This Row],[№]],Поиск_расходки[Индекс10],0)),"")</f>
        <v>Launcher 6F JL 4.5</v>
      </c>
      <c r="AB75" s="196" t="str">
        <f>IFERROR(INDEX(Расходка[Наименование расходного материала],MATCH(Расходка[[#This Row],[№]],Поиск_расходки[Индекс11],0)),"")</f>
        <v>Launcher 6F JL 4.5</v>
      </c>
      <c r="AC75" s="196" t="str">
        <f>IFERROR(INDEX(Расходка[Наименование расходного материала],MATCH(Расходка[[#This Row],[№]],Поиск_расходки[Индекс12],0)),"")</f>
        <v>Launcher 6F JL 4.5</v>
      </c>
      <c r="AD75" s="196" t="str">
        <f>IFERROR(INDEX(Расходка[Наименование расходного материала],MATCH(Расходка[[#This Row],[№]],Поиск_расходки[Индекс13],0)),"")</f>
        <v>Launcher 6F JL 4.5</v>
      </c>
      <c r="AF75" s="4" t="s">
        <v>6</v>
      </c>
      <c r="AG75" s="4" t="s">
        <v>464</v>
      </c>
    </row>
    <row r="76" spans="1:33">
      <c r="A76">
        <f>ROW(Расходка[[#This Row],[Тип расходного материала ]])-1</f>
        <v>75</v>
      </c>
      <c r="B76" t="s">
        <v>4</v>
      </c>
      <c r="C76" t="s">
        <v>328</v>
      </c>
      <c r="E76" s="195">
        <f>IF(ISNUMBER(SEARCH('Карта учёта'!$B$13,Расходка[[#This Row],[Наименование расходного материала]])),MAX($E$1:E75)+1,0)</f>
        <v>0</v>
      </c>
      <c r="F76" s="195">
        <f>IF(ISNUMBER(SEARCH('Карта учёта'!$B$14,Расходка[[#This Row],[Наименование расходного материала]])),MAX($F$1:F75)+1,0)</f>
        <v>0</v>
      </c>
      <c r="G76" s="195">
        <f>IF(ISNUMBER(SEARCH('Карта учёта'!$B$15,Расходка[[#This Row],[Наименование расходного материала]])),MAX($G$1:G75)+1,0)</f>
        <v>0</v>
      </c>
      <c r="H76" s="195">
        <f>IF(ISNUMBER(SEARCH('Карта учёта'!$B$16,Расходка[[#This Row],[Наименование расходного материала]])),MAX($H$1:H75)+1,0)</f>
        <v>0</v>
      </c>
      <c r="I76" s="195">
        <f>IF(ISNUMBER(SEARCH('Карта учёта'!$B$17,Расходка[[#This Row],[Наименование расходного материала]])),MAX($I$1:I75)+1,0)</f>
        <v>0</v>
      </c>
      <c r="J76" s="195">
        <f>IF(ISNUMBER(SEARCH('Карта учёта'!$B$18,Расходка[[#This Row],[Наименование расходного материала]])),MAX($J$1:J75)+1,0)</f>
        <v>75</v>
      </c>
      <c r="K76" s="195">
        <f>IF(ISNUMBER(SEARCH('Карта учёта'!$B$19,Расходка[[#This Row],[Наименование расходного материала]])),MAX($K$1:K75)+1,0)</f>
        <v>75</v>
      </c>
      <c r="L76" s="195">
        <f>IF(ISNUMBER(SEARCH('Карта учёта'!$B$20,Расходка[[#This Row],[Наименование расходного материала]])),MAX($L$1:L75)+1,0)</f>
        <v>75</v>
      </c>
      <c r="M76" s="195">
        <f>IF(ISNUMBER(SEARCH('Карта учёта'!$B$21,Расходка[[#This Row],[Наименование расходного материала]])),MAX($M$1:M75)+1,0)</f>
        <v>75</v>
      </c>
      <c r="N76" s="195">
        <f>IF(ISNUMBER(SEARCH('Карта учёта'!$B$22,Расходка[[#This Row],[Наименование расходного материала]])),MAX($N$1:N75)+1,0)</f>
        <v>75</v>
      </c>
      <c r="O76" s="195">
        <f>IF(ISNUMBER(SEARCH('Карта учёта'!$B$23,Расходка[[#This Row],[Наименование расходного материала]])),MAX($O$1:O75)+1,0)</f>
        <v>75</v>
      </c>
      <c r="P76" s="195">
        <f>IF(ISNUMBER(SEARCH('Карта учёта'!$B$24,Расходка[[#This Row],[Наименование расходного материала]])),MAX($P$1:P75)+1,0)</f>
        <v>75</v>
      </c>
      <c r="Q76" s="195">
        <f>IF(ISNUMBER(SEARCH('Карта учёта'!$B$25,Расходка[[#This Row],[Наименование расходного материала]])),MAX($Q$1:Q75)+1,0)</f>
        <v>75</v>
      </c>
      <c r="R76" s="196" t="str">
        <f>IFERROR(INDEX(Расходка[Наименование расходного материала],MATCH(Расходка[[#This Row],[№]],Поиск_расходки[Индекс1],0)),"")</f>
        <v/>
      </c>
      <c r="S76" s="196" t="str">
        <f>IFERROR(INDEX(Расходка[Наименование расходного материала],MATCH(Расходка[[#This Row],[№]],Поиск_расходки[Индекс2],0)),"")</f>
        <v/>
      </c>
      <c r="T76" s="196" t="str">
        <f>IFERROR(INDEX(Расходка[Наименование расходного материала],MATCH(Расходка[[#This Row],[№]],Поиск_расходки[Индекс3],0)),"")</f>
        <v/>
      </c>
      <c r="U76" s="196" t="str">
        <f>IFERROR(INDEX(Расходка[Наименование расходного материала],MATCH(Расходка[[#This Row],[№]],Поиск_расходки[Индекс4],0)),"")</f>
        <v/>
      </c>
      <c r="V76" s="196" t="str">
        <f>IFERROR(INDEX(Расходка[Наименование расходного материала],MATCH(Расходка[[#This Row],[№]],Поиск_расходки[Индекс5],0)),"")</f>
        <v/>
      </c>
      <c r="W76" s="196" t="str">
        <f>IFERROR(INDEX(Расходка[Наименование расходного материала],MATCH(Расходка[[#This Row],[№]],Поиск_расходки[Индекс6],0)),"")</f>
        <v>Launcher 6F JR 3.5</v>
      </c>
      <c r="X76" s="196" t="str">
        <f>IFERROR(INDEX(Расходка[Наименование расходного материала],MATCH(Расходка[[#This Row],[№]],Поиск_расходки[Индекс7],0)),"")</f>
        <v>Launcher 6F JR 3.5</v>
      </c>
      <c r="Y76" s="196" t="str">
        <f>IFERROR(INDEX(Расходка[Наименование расходного материала],MATCH(Расходка[[#This Row],[№]],Поиск_расходки[Индекс8],0)),"")</f>
        <v>Launcher 6F JR 3.5</v>
      </c>
      <c r="Z76" s="196" t="str">
        <f>IFERROR(INDEX(Расходка[Наименование расходного материала],MATCH(Расходка[[#This Row],[№]],Поиск_расходки[Индекс9],0)),"")</f>
        <v>Launcher 6F JR 3.5</v>
      </c>
      <c r="AA76" s="196" t="str">
        <f>IFERROR(INDEX(Расходка[Наименование расходного материала],MATCH(Расходка[[#This Row],[№]],Поиск_расходки[Индекс10],0)),"")</f>
        <v>Launcher 6F JR 3.5</v>
      </c>
      <c r="AB76" s="196" t="str">
        <f>IFERROR(INDEX(Расходка[Наименование расходного материала],MATCH(Расходка[[#This Row],[№]],Поиск_расходки[Индекс11],0)),"")</f>
        <v>Launcher 6F JR 3.5</v>
      </c>
      <c r="AC76" s="196" t="str">
        <f>IFERROR(INDEX(Расходка[Наименование расходного материала],MATCH(Расходка[[#This Row],[№]],Поиск_расходки[Индекс12],0)),"")</f>
        <v>Launcher 6F JR 3.5</v>
      </c>
      <c r="AD76" s="196" t="str">
        <f>IFERROR(INDEX(Расходка[Наименование расходного материала],MATCH(Расходка[[#This Row],[№]],Поиск_расходки[Индекс13],0)),"")</f>
        <v>Launcher 6F JR 3.5</v>
      </c>
      <c r="AF76" s="4" t="s">
        <v>6</v>
      </c>
      <c r="AG76" s="4" t="s">
        <v>465</v>
      </c>
    </row>
    <row r="77" spans="1:33">
      <c r="A77">
        <f>ROW(Расходка[[#This Row],[Тип расходного материала ]])-1</f>
        <v>76</v>
      </c>
      <c r="B77" t="s">
        <v>4</v>
      </c>
      <c r="C77" t="s">
        <v>329</v>
      </c>
      <c r="E77" s="195">
        <f>IF(ISNUMBER(SEARCH('Карта учёта'!$B$13,Расходка[[#This Row],[Наименование расходного материала]])),MAX($E$1:E76)+1,0)</f>
        <v>0</v>
      </c>
      <c r="F77" s="195">
        <f>IF(ISNUMBER(SEARCH('Карта учёта'!$B$14,Расходка[[#This Row],[Наименование расходного материала]])),MAX($F$1:F76)+1,0)</f>
        <v>0</v>
      </c>
      <c r="G77" s="195">
        <f>IF(ISNUMBER(SEARCH('Карта учёта'!$B$15,Расходка[[#This Row],[Наименование расходного материала]])),MAX($G$1:G76)+1,0)</f>
        <v>0</v>
      </c>
      <c r="H77" s="195">
        <f>IF(ISNUMBER(SEARCH('Карта учёта'!$B$16,Расходка[[#This Row],[Наименование расходного материала]])),MAX($H$1:H76)+1,0)</f>
        <v>0</v>
      </c>
      <c r="I77" s="195">
        <f>IF(ISNUMBER(SEARCH('Карта учёта'!$B$17,Расходка[[#This Row],[Наименование расходного материала]])),MAX($I$1:I76)+1,0)</f>
        <v>0</v>
      </c>
      <c r="J77" s="195">
        <f>IF(ISNUMBER(SEARCH('Карта учёта'!$B$18,Расходка[[#This Row],[Наименование расходного материала]])),MAX($J$1:J76)+1,0)</f>
        <v>76</v>
      </c>
      <c r="K77" s="195">
        <f>IF(ISNUMBER(SEARCH('Карта учёта'!$B$19,Расходка[[#This Row],[Наименование расходного материала]])),MAX($K$1:K76)+1,0)</f>
        <v>76</v>
      </c>
      <c r="L77" s="195">
        <f>IF(ISNUMBER(SEARCH('Карта учёта'!$B$20,Расходка[[#This Row],[Наименование расходного материала]])),MAX($L$1:L76)+1,0)</f>
        <v>76</v>
      </c>
      <c r="M77" s="195">
        <f>IF(ISNUMBER(SEARCH('Карта учёта'!$B$21,Расходка[[#This Row],[Наименование расходного материала]])),MAX($M$1:M76)+1,0)</f>
        <v>76</v>
      </c>
      <c r="N77" s="195">
        <f>IF(ISNUMBER(SEARCH('Карта учёта'!$B$22,Расходка[[#This Row],[Наименование расходного материала]])),MAX($N$1:N76)+1,0)</f>
        <v>76</v>
      </c>
      <c r="O77" s="195">
        <f>IF(ISNUMBER(SEARCH('Карта учёта'!$B$23,Расходка[[#This Row],[Наименование расходного материала]])),MAX($O$1:O76)+1,0)</f>
        <v>76</v>
      </c>
      <c r="P77" s="195">
        <f>IF(ISNUMBER(SEARCH('Карта учёта'!$B$24,Расходка[[#This Row],[Наименование расходного материала]])),MAX($P$1:P76)+1,0)</f>
        <v>76</v>
      </c>
      <c r="Q77" s="195">
        <f>IF(ISNUMBER(SEARCH('Карта учёта'!$B$25,Расходка[[#This Row],[Наименование расходного материала]])),MAX($Q$1:Q76)+1,0)</f>
        <v>76</v>
      </c>
      <c r="R77" s="196" t="str">
        <f>IFERROR(INDEX(Расходка[Наименование расходного материала],MATCH(Расходка[[#This Row],[№]],Поиск_расходки[Индекс1],0)),"")</f>
        <v/>
      </c>
      <c r="S77" s="196" t="str">
        <f>IFERROR(INDEX(Расходка[Наименование расходного материала],MATCH(Расходка[[#This Row],[№]],Поиск_расходки[Индекс2],0)),"")</f>
        <v/>
      </c>
      <c r="T77" s="196" t="str">
        <f>IFERROR(INDEX(Расходка[Наименование расходного материала],MATCH(Расходка[[#This Row],[№]],Поиск_расходки[Индекс3],0)),"")</f>
        <v/>
      </c>
      <c r="U77" s="196" t="str">
        <f>IFERROR(INDEX(Расходка[Наименование расходного материала],MATCH(Расходка[[#This Row],[№]],Поиск_расходки[Индекс4],0)),"")</f>
        <v/>
      </c>
      <c r="V77" s="196" t="str">
        <f>IFERROR(INDEX(Расходка[Наименование расходного материала],MATCH(Расходка[[#This Row],[№]],Поиск_расходки[Индекс5],0)),"")</f>
        <v/>
      </c>
      <c r="W77" s="196" t="str">
        <f>IFERROR(INDEX(Расходка[Наименование расходного материала],MATCH(Расходка[[#This Row],[№]],Поиск_расходки[Индекс6],0)),"")</f>
        <v>Launcher 6F JR 4.0</v>
      </c>
      <c r="X77" s="196" t="str">
        <f>IFERROR(INDEX(Расходка[Наименование расходного материала],MATCH(Расходка[[#This Row],[№]],Поиск_расходки[Индекс7],0)),"")</f>
        <v>Launcher 6F JR 4.0</v>
      </c>
      <c r="Y77" s="196" t="str">
        <f>IFERROR(INDEX(Расходка[Наименование расходного материала],MATCH(Расходка[[#This Row],[№]],Поиск_расходки[Индекс8],0)),"")</f>
        <v>Launcher 6F JR 4.0</v>
      </c>
      <c r="Z77" s="196" t="str">
        <f>IFERROR(INDEX(Расходка[Наименование расходного материала],MATCH(Расходка[[#This Row],[№]],Поиск_расходки[Индекс9],0)),"")</f>
        <v>Launcher 6F JR 4.0</v>
      </c>
      <c r="AA77" s="196" t="str">
        <f>IFERROR(INDEX(Расходка[Наименование расходного материала],MATCH(Расходка[[#This Row],[№]],Поиск_расходки[Индекс10],0)),"")</f>
        <v>Launcher 6F JR 4.0</v>
      </c>
      <c r="AB77" s="196" t="str">
        <f>IFERROR(INDEX(Расходка[Наименование расходного материала],MATCH(Расходка[[#This Row],[№]],Поиск_расходки[Индекс11],0)),"")</f>
        <v>Launcher 6F JR 4.0</v>
      </c>
      <c r="AC77" s="196" t="str">
        <f>IFERROR(INDEX(Расходка[Наименование расходного материала],MATCH(Расходка[[#This Row],[№]],Поиск_расходки[Индекс12],0)),"")</f>
        <v>Launcher 6F JR 4.0</v>
      </c>
      <c r="AD77" s="196" t="str">
        <f>IFERROR(INDEX(Расходка[Наименование расходного материала],MATCH(Расходка[[#This Row],[№]],Поиск_расходки[Индекс13],0)),"")</f>
        <v>Launcher 6F JR 4.0</v>
      </c>
      <c r="AF77" s="4" t="s">
        <v>6</v>
      </c>
      <c r="AG77" s="4" t="s">
        <v>466</v>
      </c>
    </row>
    <row r="78" spans="1:33">
      <c r="A78">
        <f>ROW(Расходка[[#This Row],[Тип расходного материала ]])-1</f>
        <v>77</v>
      </c>
      <c r="B78" t="s">
        <v>4</v>
      </c>
      <c r="C78" t="s">
        <v>339</v>
      </c>
      <c r="E78" s="195">
        <f>IF(ISNUMBER(SEARCH('Карта учёта'!$B$13,Расходка[[#This Row],[Наименование расходного материала]])),MAX($E$1:E77)+1,0)</f>
        <v>0</v>
      </c>
      <c r="F78" s="195">
        <f>IF(ISNUMBER(SEARCH('Карта учёта'!$B$14,Расходка[[#This Row],[Наименование расходного материала]])),MAX($F$1:F77)+1,0)</f>
        <v>0</v>
      </c>
      <c r="G78" s="195">
        <f>IF(ISNUMBER(SEARCH('Карта учёта'!$B$15,Расходка[[#This Row],[Наименование расходного материала]])),MAX($G$1:G77)+1,0)</f>
        <v>0</v>
      </c>
      <c r="H78" s="195">
        <f>IF(ISNUMBER(SEARCH('Карта учёта'!$B$16,Расходка[[#This Row],[Наименование расходного материала]])),MAX($H$1:H77)+1,0)</f>
        <v>0</v>
      </c>
      <c r="I78" s="195">
        <f>IF(ISNUMBER(SEARCH('Карта учёта'!$B$17,Расходка[[#This Row],[Наименование расходного материала]])),MAX($I$1:I77)+1,0)</f>
        <v>0</v>
      </c>
      <c r="J78" s="195">
        <f>IF(ISNUMBER(SEARCH('Карта учёта'!$B$18,Расходка[[#This Row],[Наименование расходного материала]])),MAX($J$1:J77)+1,0)</f>
        <v>77</v>
      </c>
      <c r="K78" s="195">
        <f>IF(ISNUMBER(SEARCH('Карта учёта'!$B$19,Расходка[[#This Row],[Наименование расходного материала]])),MAX($K$1:K77)+1,0)</f>
        <v>77</v>
      </c>
      <c r="L78" s="195">
        <f>IF(ISNUMBER(SEARCH('Карта учёта'!$B$20,Расходка[[#This Row],[Наименование расходного материала]])),MAX($L$1:L77)+1,0)</f>
        <v>77</v>
      </c>
      <c r="M78" s="195">
        <f>IF(ISNUMBER(SEARCH('Карта учёта'!$B$21,Расходка[[#This Row],[Наименование расходного материала]])),MAX($M$1:M77)+1,0)</f>
        <v>77</v>
      </c>
      <c r="N78" s="195">
        <f>IF(ISNUMBER(SEARCH('Карта учёта'!$B$22,Расходка[[#This Row],[Наименование расходного материала]])),MAX($N$1:N77)+1,0)</f>
        <v>77</v>
      </c>
      <c r="O78" s="195">
        <f>IF(ISNUMBER(SEARCH('Карта учёта'!$B$23,Расходка[[#This Row],[Наименование расходного материала]])),MAX($O$1:O77)+1,0)</f>
        <v>77</v>
      </c>
      <c r="P78" s="195">
        <f>IF(ISNUMBER(SEARCH('Карта учёта'!$B$24,Расходка[[#This Row],[Наименование расходного материала]])),MAX($P$1:P77)+1,0)</f>
        <v>77</v>
      </c>
      <c r="Q78" s="195">
        <f>IF(ISNUMBER(SEARCH('Карта учёта'!$B$25,Расходка[[#This Row],[Наименование расходного материала]])),MAX($Q$1:Q77)+1,0)</f>
        <v>77</v>
      </c>
      <c r="R78" s="196" t="str">
        <f>IFERROR(INDEX(Расходка[Наименование расходного материала],MATCH(Расходка[[#This Row],[№]],Поиск_расходки[Индекс1],0)),"")</f>
        <v/>
      </c>
      <c r="S78" s="196" t="str">
        <f>IFERROR(INDEX(Расходка[Наименование расходного материала],MATCH(Расходка[[#This Row],[№]],Поиск_расходки[Индекс2],0)),"")</f>
        <v/>
      </c>
      <c r="T78" s="196" t="str">
        <f>IFERROR(INDEX(Расходка[Наименование расходного материала],MATCH(Расходка[[#This Row],[№]],Поиск_расходки[Индекс3],0)),"")</f>
        <v/>
      </c>
      <c r="U78" s="196" t="str">
        <f>IFERROR(INDEX(Расходка[Наименование расходного материала],MATCH(Расходка[[#This Row],[№]],Поиск_расходки[Индекс4],0)),"")</f>
        <v/>
      </c>
      <c r="V78" s="196" t="str">
        <f>IFERROR(INDEX(Расходка[Наименование расходного материала],MATCH(Расходка[[#This Row],[№]],Поиск_расходки[Индекс5],0)),"")</f>
        <v/>
      </c>
      <c r="W78" s="196" t="str">
        <f>IFERROR(INDEX(Расходка[Наименование расходного материала],MATCH(Расходка[[#This Row],[№]],Поиск_расходки[Индекс6],0)),"")</f>
        <v>Launcher 7F JL 3.5</v>
      </c>
      <c r="X78" s="196" t="str">
        <f>IFERROR(INDEX(Расходка[Наименование расходного материала],MATCH(Расходка[[#This Row],[№]],Поиск_расходки[Индекс7],0)),"")</f>
        <v>Launcher 7F JL 3.5</v>
      </c>
      <c r="Y78" s="196" t="str">
        <f>IFERROR(INDEX(Расходка[Наименование расходного материала],MATCH(Расходка[[#This Row],[№]],Поиск_расходки[Индекс8],0)),"")</f>
        <v>Launcher 7F JL 3.5</v>
      </c>
      <c r="Z78" s="196" t="str">
        <f>IFERROR(INDEX(Расходка[Наименование расходного материала],MATCH(Расходка[[#This Row],[№]],Поиск_расходки[Индекс9],0)),"")</f>
        <v>Launcher 7F JL 3.5</v>
      </c>
      <c r="AA78" s="196" t="str">
        <f>IFERROR(INDEX(Расходка[Наименование расходного материала],MATCH(Расходка[[#This Row],[№]],Поиск_расходки[Индекс10],0)),"")</f>
        <v>Launcher 7F JL 3.5</v>
      </c>
      <c r="AB78" s="196" t="str">
        <f>IFERROR(INDEX(Расходка[Наименование расходного материала],MATCH(Расходка[[#This Row],[№]],Поиск_расходки[Индекс11],0)),"")</f>
        <v>Launcher 7F JL 3.5</v>
      </c>
      <c r="AC78" s="196" t="str">
        <f>IFERROR(INDEX(Расходка[Наименование расходного материала],MATCH(Расходка[[#This Row],[№]],Поиск_расходки[Индекс12],0)),"")</f>
        <v>Launcher 7F JL 3.5</v>
      </c>
      <c r="AD78" s="196" t="str">
        <f>IFERROR(INDEX(Расходка[Наименование расходного материала],MATCH(Расходка[[#This Row],[№]],Поиск_расходки[Индекс13],0)),"")</f>
        <v>Launcher 7F JL 3.5</v>
      </c>
      <c r="AF78" s="4" t="s">
        <v>6</v>
      </c>
      <c r="AG78" s="4" t="s">
        <v>467</v>
      </c>
    </row>
    <row r="79" spans="1:33">
      <c r="A79">
        <f>ROW(Расходка[[#This Row],[Тип расходного материала ]])-1</f>
        <v>78</v>
      </c>
      <c r="B79" t="s">
        <v>4</v>
      </c>
      <c r="C79" t="s">
        <v>338</v>
      </c>
      <c r="AF79" s="4" t="s">
        <v>6</v>
      </c>
      <c r="AG79" s="4" t="s">
        <v>468</v>
      </c>
    </row>
    <row r="80" spans="1:33">
      <c r="A80">
        <f>ROW(Расходка[[#This Row],[Тип расходного материала ]])-1</f>
        <v>79</v>
      </c>
      <c r="B80" t="s">
        <v>301</v>
      </c>
      <c r="C80" s="1" t="s">
        <v>330</v>
      </c>
      <c r="AF80" s="4" t="s">
        <v>6</v>
      </c>
      <c r="AG80" s="4" t="s">
        <v>469</v>
      </c>
    </row>
    <row r="81" spans="1:33">
      <c r="A81">
        <f>ROW(Расходка[[#This Row],[Тип расходного материала ]])-1</f>
        <v>80</v>
      </c>
      <c r="B81" t="s">
        <v>3</v>
      </c>
      <c r="C81" t="s">
        <v>535</v>
      </c>
      <c r="AF81" s="4" t="s">
        <v>6</v>
      </c>
      <c r="AG81" s="4" t="s">
        <v>470</v>
      </c>
    </row>
    <row r="82" spans="1:33">
      <c r="AF82" s="4" t="s">
        <v>6</v>
      </c>
      <c r="AG82" s="4" t="s">
        <v>471</v>
      </c>
    </row>
    <row r="83" spans="1:33">
      <c r="AF83" s="4" t="s">
        <v>6</v>
      </c>
      <c r="AG83" s="4" t="s">
        <v>472</v>
      </c>
    </row>
    <row r="84" spans="1:33">
      <c r="AF84" s="4" t="s">
        <v>6</v>
      </c>
      <c r="AG84" s="4" t="s">
        <v>423</v>
      </c>
    </row>
    <row r="85" spans="1:33">
      <c r="AF85" s="4" t="s">
        <v>6</v>
      </c>
      <c r="AG85" s="4" t="s">
        <v>424</v>
      </c>
    </row>
    <row r="86" spans="1:33">
      <c r="AF86" s="4" t="s">
        <v>6</v>
      </c>
      <c r="AG86" s="4" t="s">
        <v>473</v>
      </c>
    </row>
    <row r="87" spans="1:33">
      <c r="AF87" s="4" t="s">
        <v>6</v>
      </c>
      <c r="AG87" s="4" t="s">
        <v>474</v>
      </c>
    </row>
    <row r="88" spans="1:33">
      <c r="AF88" s="4" t="s">
        <v>6</v>
      </c>
      <c r="AG88" s="4" t="s">
        <v>475</v>
      </c>
    </row>
    <row r="89" spans="1:33">
      <c r="AF89" s="4" t="s">
        <v>6</v>
      </c>
      <c r="AG89" s="4" t="s">
        <v>476</v>
      </c>
    </row>
    <row r="90" spans="1:33">
      <c r="AF90" s="4" t="s">
        <v>6</v>
      </c>
      <c r="AG90" s="4" t="s">
        <v>477</v>
      </c>
    </row>
    <row r="91" spans="1:33">
      <c r="AF91" s="4" t="s">
        <v>6</v>
      </c>
      <c r="AG91" s="4" t="s">
        <v>478</v>
      </c>
    </row>
    <row r="92" spans="1:33">
      <c r="AF92" s="4" t="s">
        <v>6</v>
      </c>
      <c r="AG92" s="4" t="s">
        <v>479</v>
      </c>
    </row>
    <row r="93" spans="1:33">
      <c r="AF93" s="4" t="s">
        <v>6</v>
      </c>
      <c r="AG93" s="4" t="s">
        <v>480</v>
      </c>
    </row>
    <row r="94" spans="1:33">
      <c r="AF94" s="4" t="s">
        <v>6</v>
      </c>
      <c r="AG94" s="4" t="s">
        <v>427</v>
      </c>
    </row>
    <row r="95" spans="1:33">
      <c r="AF95" s="4" t="s">
        <v>6</v>
      </c>
      <c r="AG95" s="4" t="s">
        <v>428</v>
      </c>
    </row>
    <row r="96" spans="1:33">
      <c r="AF96" s="4" t="s">
        <v>6</v>
      </c>
      <c r="AG96" s="4" t="s">
        <v>481</v>
      </c>
    </row>
    <row r="97" spans="32:33">
      <c r="AF97" s="4" t="s">
        <v>6</v>
      </c>
      <c r="AG97" s="4" t="s">
        <v>482</v>
      </c>
    </row>
  </sheetData>
  <sheetProtection sheet="1" objects="1" scenarios="1" formatCells="0" formatColumns="0"/>
  <phoneticPr fontId="15" type="noConversion"/>
  <dataValidations count="1">
    <dataValidation type="list" allowBlank="1" showInputMessage="1" showErrorMessage="1" sqref="B2:B81">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0"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0"/>
    </row>
    <row r="20" spans="1:3">
      <c r="C20" s="200"/>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523</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524</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5"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89"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Экстренный Ангиограф</dc:creator>
  <cp:lastModifiedBy>Экстренный Ангиограф</cp:lastModifiedBy>
  <cp:lastPrinted>2025-03-18T14:36:44Z</cp:lastPrinted>
  <dcterms:created xsi:type="dcterms:W3CDTF">2015-06-05T18:19:34Z</dcterms:created>
  <dcterms:modified xsi:type="dcterms:W3CDTF">2025-03-18T14:38:48Z</dcterms:modified>
</cp:coreProperties>
</file>