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9" l="1"/>
  <c r="B13" i="9" l="1"/>
  <c r="A6" i="1" l="1"/>
  <c r="A4" i="1"/>
  <c r="A59" i="1" l="1"/>
  <c r="A56" i="1" l="1"/>
  <c r="A55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7" i="1"/>
  <c r="A58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8" i="1"/>
  <c r="H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AB2" i="1" l="1"/>
  <c r="O69" i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U2" i="1" l="1"/>
  <c r="H76" i="1"/>
  <c r="H77" i="1" s="1"/>
  <c r="U53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U64" i="1" l="1"/>
  <c r="U46" i="1"/>
  <c r="U66" i="1"/>
  <c r="U51" i="1"/>
  <c r="U57" i="1"/>
  <c r="U70" i="1"/>
  <c r="U47" i="1"/>
  <c r="U52" i="1"/>
  <c r="U56" i="1"/>
  <c r="U45" i="1"/>
  <c r="U44" i="1"/>
  <c r="U61" i="1"/>
  <c r="U41" i="1"/>
  <c r="U59" i="1"/>
  <c r="U69" i="1"/>
  <c r="U54" i="1"/>
  <c r="U58" i="1"/>
  <c r="U72" i="1"/>
  <c r="U55" i="1"/>
  <c r="U40" i="1"/>
  <c r="U73" i="1"/>
  <c r="U42" i="1"/>
  <c r="U60" i="1"/>
  <c r="U68" i="1"/>
  <c r="U39" i="1"/>
  <c r="U75" i="1"/>
  <c r="U63" i="1"/>
  <c r="U74" i="1"/>
  <c r="U49" i="1"/>
  <c r="U67" i="1"/>
  <c r="U43" i="1"/>
  <c r="U71" i="1"/>
  <c r="U62" i="1"/>
  <c r="U48" i="1"/>
  <c r="U50" i="1"/>
  <c r="U65" i="1"/>
  <c r="U78" i="1"/>
  <c r="U76" i="1"/>
  <c r="U77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W2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V70" i="1" s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74" i="1"/>
  <c r="V39" i="1"/>
  <c r="V68" i="1"/>
  <c r="V63" i="1"/>
  <c r="V45" i="1"/>
  <c r="V75" i="1"/>
  <c r="V51" i="1"/>
  <c r="V46" i="1"/>
  <c r="V72" i="1"/>
  <c r="V53" i="1"/>
  <c r="V40" i="1"/>
  <c r="V64" i="1"/>
  <c r="V43" i="1"/>
  <c r="V69" i="1"/>
  <c r="V57" i="1"/>
  <c r="V7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71" i="1" l="1"/>
  <c r="V60" i="1"/>
  <c r="V44" i="1"/>
  <c r="V66" i="1"/>
  <c r="V61" i="1"/>
  <c r="V56" i="1"/>
  <c r="V48" i="1"/>
  <c r="V54" i="1"/>
  <c r="V67" i="1"/>
  <c r="V41" i="1"/>
  <c r="V59" i="1"/>
  <c r="V49" i="1"/>
  <c r="V52" i="1"/>
  <c r="V73" i="1"/>
  <c r="V42" i="1"/>
  <c r="V50" i="1"/>
  <c r="V2" i="1"/>
  <c r="V47" i="1"/>
  <c r="V62" i="1"/>
  <c r="V65" i="1"/>
  <c r="V55" i="1"/>
  <c r="V58" i="1"/>
  <c r="V77" i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N74" i="1"/>
  <c r="L68" i="1"/>
  <c r="M62" i="1"/>
  <c r="G78" i="1" l="1"/>
  <c r="T3" i="1" s="1"/>
  <c r="T2" i="1"/>
  <c r="T49" i="1"/>
  <c r="T47" i="1"/>
  <c r="T66" i="1"/>
  <c r="P44" i="1"/>
  <c r="T4" i="1"/>
  <c r="T6" i="1"/>
  <c r="N75" i="1"/>
  <c r="L69" i="1"/>
  <c r="M63" i="1"/>
  <c r="M64" i="1" s="1"/>
  <c r="M65" i="1" s="1"/>
  <c r="M66" i="1" s="1"/>
  <c r="T65" i="1" l="1"/>
  <c r="T77" i="1"/>
  <c r="T74" i="1"/>
  <c r="T73" i="1"/>
  <c r="T71" i="1"/>
  <c r="T33" i="1"/>
  <c r="T39" i="1"/>
  <c r="T10" i="1"/>
  <c r="T35" i="1"/>
  <c r="T59" i="1"/>
  <c r="T22" i="1"/>
  <c r="T55" i="1"/>
  <c r="T16" i="1"/>
  <c r="T32" i="1"/>
  <c r="T42" i="1"/>
  <c r="T62" i="1"/>
  <c r="T30" i="1"/>
  <c r="T45" i="1"/>
  <c r="T68" i="1"/>
  <c r="T20" i="1"/>
  <c r="T28" i="1"/>
  <c r="T31" i="1"/>
  <c r="T25" i="1"/>
  <c r="T21" i="1"/>
  <c r="T9" i="1"/>
  <c r="T60" i="1"/>
  <c r="T37" i="1"/>
  <c r="T52" i="1"/>
  <c r="T12" i="1"/>
  <c r="T54" i="1"/>
  <c r="T38" i="1"/>
  <c r="T67" i="1"/>
  <c r="T51" i="1"/>
  <c r="T8" i="1"/>
  <c r="T7" i="1"/>
  <c r="T23" i="1"/>
  <c r="T27" i="1"/>
  <c r="T14" i="1"/>
  <c r="T56" i="1"/>
  <c r="T63" i="1"/>
  <c r="T18" i="1"/>
  <c r="T57" i="1"/>
  <c r="T72" i="1"/>
  <c r="T11" i="1"/>
  <c r="T70" i="1"/>
  <c r="T61" i="1"/>
  <c r="T69" i="1"/>
  <c r="T41" i="1"/>
  <c r="T36" i="1"/>
  <c r="T13" i="1"/>
  <c r="T53" i="1"/>
  <c r="T29" i="1"/>
  <c r="T26" i="1"/>
  <c r="T19" i="1"/>
  <c r="T78" i="1"/>
  <c r="T34" i="1"/>
  <c r="T64" i="1"/>
  <c r="T50" i="1"/>
  <c r="T44" i="1"/>
  <c r="T46" i="1"/>
  <c r="T15" i="1"/>
  <c r="T76" i="1"/>
  <c r="T5" i="1"/>
  <c r="T75" i="1"/>
  <c r="T40" i="1"/>
  <c r="T58" i="1"/>
  <c r="T17" i="1"/>
  <c r="T48" i="1"/>
  <c r="T24" i="1"/>
  <c r="T43" i="1"/>
  <c r="P45" i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L75" i="1" s="1"/>
  <c r="M69" i="1"/>
  <c r="P48" i="1" l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Y39" i="1" s="1"/>
  <c r="Y27" i="1"/>
  <c r="Y43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Y78" i="1" l="1"/>
  <c r="Y2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52" i="1"/>
  <c r="AC59" i="1"/>
  <c r="AC46" i="1"/>
  <c r="AC44" i="1"/>
  <c r="AC6" i="1"/>
  <c r="AC37" i="1"/>
  <c r="AC66" i="1"/>
  <c r="AC71" i="1"/>
  <c r="AC9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7" i="1" l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<sst xmlns="http://schemas.openxmlformats.org/spreadsheetml/2006/main" count="899" uniqueCount="544">
  <si>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</si>
  <si>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</si>
  <si>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</si>
  <si>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</si>
  <si>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</si>
  <si>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</si>
  <si>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</si>
  <si>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</si>
  <si>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</si>
  <si>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</si>
  <si>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</si>
  <si>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</si>
  <si>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</si>
  <si>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</si>
  <si>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</si>
  <si>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</si>
  <si>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</si>
  <si>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</si>
  <si>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</si>
  <si>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</si>
  <si>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</si>
  <si>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</si>
  <si>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</si>
  <si>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</si>
  <si>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</si>
  <si>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</si>
  <si>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</si>
  <si>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</si>
  <si>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</si>
  <si>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</si>
  <si>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</si>
  <si>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</si>
  <si>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</si>
  <si>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</si>
  <si>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</si>
  <si>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</si>
  <si>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</si>
  <si>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</si>
  <si>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</si>
  <si>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</si>
  <si>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</si>
  <si>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</si>
  <si>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</si>
  <si>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</si>
  <si>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</si>
  <si>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</si>
  <si>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</si>
  <si>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</si>
  <si>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</si>
  <si>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</si>
  <si>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</si>
  <si>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</si>
  <si>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</si>
  <si>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</si>
  <si>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</si>
  <si>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</si>
  <si>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</si>
  <si>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</si>
  <si>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</si>
  <si>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</si>
  <si>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</si>
  <si>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</si>
  <si>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</si>
  <si>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</si>
  <si>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</si>
  <si>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</si>
  <si>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</si>
  <si>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</si>
  <si>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</si>
  <si>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</si>
  <si>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</si>
  <si>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</si>
  <si>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</si>
  <si>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</si>
  <si>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</si>
  <si>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</si>
  <si>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</si>
  <si>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</si>
  <si>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</si>
  <si>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</si>
  <si>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</si>
  <si>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</si>
  <si>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</si>
  <si>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</si>
  <si>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</si>
  <si>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</si>
  <si>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</si>
  <si>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</si>
  <si>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</si>
  <si>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</si>
  <si>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</si>
  <si>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</si>
  <si>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</si>
  <si>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</si>
  <si>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</si>
  <si>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</si>
  <si>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</si>
  <si>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</si>
  <si>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</si>
  <si>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</si>
  <si>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</si>
  <si>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</si>
  <si>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</si>
  <si>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</si>
  <si>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</si>
  <si>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</si>
  <si>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</si>
  <si>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</si>
  <si>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</si>
  <si>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</si>
  <si>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</si>
  <si>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</si>
  <si>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</si>
  <si>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</si>
  <si>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</si>
  <si>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</si>
  <si>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</si>
  <si>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</si>
  <si>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</si>
  <si>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</si>
  <si>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</si>
  <si>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</si>
  <si>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</si>
  <si>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</si>
  <si>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</si>
  <si>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</si>
  <si>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</si>
  <si>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</si>
  <si>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</si>
  <si>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</si>
  <si>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</si>
  <si>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</si>
  <si>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</si>
  <si>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</si>
  <si>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</si>
  <si>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</si>
  <si>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</si>
  <si>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</si>
  <si>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</si>
  <si>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</si>
  <si>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</si>
  <si>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</si>
  <si>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</si>
  <si>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</si>
  <si>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</si>
  <si>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</si>
  <si>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</si>
  <si>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</si>
  <si>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</si>
  <si>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</si>
  <si>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</si>
  <si>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</si>
  <si>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</si>
  <si>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</si>
  <si>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</si>
  <si>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</si>
  <si>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</si>
  <si>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</si>
  <si>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</si>
  <si>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</si>
  <si>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</si>
  <si>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</si>
  <si>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</si>
  <si>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</si>
  <si>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</si>
  <si>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</si>
  <si>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</si>
  <si>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</si>
  <si>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</si>
  <si>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</si>
  <si>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</si>
  <si>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</si>
  <si>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</si>
  <si>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</si>
  <si>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</si>
  <si>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</si>
  <si>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</si>
  <si>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</si>
  <si>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</si>
  <si>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</si>
  <si>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</si>
  <si>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</si>
  <si>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</si>
  <si>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</si>
  <si>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</si>
  <si>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</si>
  <si>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</si>
  <si>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</si>
  <si>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</si>
  <si>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</si>
  <si>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</si>
  <si>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</si>
  <si>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</si>
  <si>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</si>
  <si>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</si>
  <si>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</si>
  <si>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</si>
  <si>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</si>
  <si>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</si>
  <si>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</si>
  <si>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</si>
  <si>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</si>
  <si>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</si>
  <si>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</si>
  <si>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</si>
  <si>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</si>
  <si>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</si>
  <si>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</si>
  <si>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</si>
  <si>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</si>
  <si>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</si>
  <si>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</si>
  <si>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</si>
  <si>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</si>
  <si>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</si>
  <si>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</si>
  <si>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</si>
  <si>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</si>
  <si>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</si>
  <si>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</si>
  <si>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</si>
  <si>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</si>
  <si>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</si>
  <si>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</si>
  <si>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</si>
  <si>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</si>
  <si>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</si>
  <si>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</si>
  <si>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</si>
  <si>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</si>
  <si>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</si>
  <si>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</si>
  <si>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</si>
  <si>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</si>
  <si>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</si>
  <si>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</si>
  <si>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</si>
  <si>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</si>
  <si>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</si>
  <si>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</si>
  <si>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</si>
  <si>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</si>
  <si>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</si>
  <si>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</si>
  <si>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</si>
  <si>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</si>
  <si>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</si>
  <si>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</si>
  <si>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</si>
  <si>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</si>
  <si>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</si>
  <si>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</si>
  <si>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</si>
  <si>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</si>
  <si>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</si>
  <si>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</si>
  <si>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</si>
  <si>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</si>
  <si>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</si>
  <si>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</si>
  <si>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</si>
  <si>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</si>
  <si>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</si>
  <si>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</si>
  <si>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</si>
  <si>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</si>
  <si>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</si>
  <si>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</si>
  <si>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</si>
  <si>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</si>
  <si>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</si>
  <si>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</si>
  <si>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</si>
  <si>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</si>
  <si>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</si>
  <si>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</si>
  <si>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</si>
  <si>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</si>
  <si>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</si>
  <si>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</si>
  <si>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</si>
  <si>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</si>
  <si>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</si>
  <si>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</si>
  <si>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</si>
  <si>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</si>
  <si>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</si>
  <si>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</si>
  <si>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</si>
  <si>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</si>
  <si>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</si>
  <si>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</si>
  <si>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</si>
  <si>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</si>
  <si>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</si>
  <si>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</si>
  <si>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</si>
  <si>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</si>
  <si>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</si>
  <si>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</si>
  <si>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</si>
  <si>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</si>
  <si>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</si>
  <si>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</si>
  <si>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</si>
  <si>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</si>
  <si>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</si>
  <si>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</si>
  <si>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</si>
  <si>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</si>
  <si>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</si>
  <si>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</si>
  <si>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</si>
  <si>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</si>
  <si>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</si>
  <si>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</si>
  <si>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</si>
  <si>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</si>
  <si>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</si>
  <si>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</si>
  <si>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</si>
  <si>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</si>
  <si>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</si>
  <si>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</si>
  <si>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</si>
  <si>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</si>
  <si>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</si>
  <si>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</si>
  <si>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</si>
  <si>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</si>
  <si>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</si>
  <si>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</si>
  <si>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</si>
  <si>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</si>
  <si>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</si>
  <si>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</si>
  <si>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</si>
  <si>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</si>
  <si>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</si>
  <si>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</si>
  <si>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</si>
  <si>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</si>
  <si>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</si>
  <si>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</si>
  <si>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</si>
  <si>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</si>
  <si>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</si>
  <si>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</si>
  <si>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</si>
  <si>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</si>
  <si>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</si>
  <si>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</si>
  <si>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</si>
  <si>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</si>
  <si>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</si>
  <si>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</si>
  <si>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</si>
  <si>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</si>
  <si>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</si>
  <si>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</si>
  <si>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</si>
  <si>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</si>
  <si>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</si>
  <si>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</si>
  <si>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</si>
  <si>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</si>
  <si>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</si>
  <si>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</si>
  <si>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</si>
  <si>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</si>
  <si>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</si>
  <si>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</si>
  <si>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</si>
  <si>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</si>
  <si>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</si>
  <si>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</si>
  <si>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</si>
  <si>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</si>
  <si>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</si>
  <si>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</si>
  <si>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</si>
  <si>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</si>
  <si>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</si>
  <si>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</si>
  <si>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</si>
  <si>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</si>
  <si>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</si>
  <si>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</si>
  <si>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</si>
  <si>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</si>
  <si>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</si>
  <si>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</si>
  <si>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</si>
  <si>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</si>
  <si>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</si>
  <si>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</si>
  <si>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</si>
  <si>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</si>
  <si>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</si>
  <si>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</si>
  <si>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</si>
  <si>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</si>
  <si>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</si>
  <si>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</si>
  <si>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</si>
  <si>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</si>
  <si>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</si>
  <si>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</si>
  <si>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</si>
  <si>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</si>
  <si>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</si>
  <si>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</si>
  <si>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</si>
  <si>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</si>
  <si>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</si>
  <si>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</si>
  <si>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</si>
  <si>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</si>
  <si>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</si>
  <si>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</si>
  <si>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</si>
  <si>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</si>
  <si>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</si>
  <si>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</si>
  <si>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</si>
  <si>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</si>
  <si>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</si>
  <si>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</si>
  <si>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</si>
  <si>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</si>
  <si>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</si>
  <si>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</si>
  <si>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</si>
  <si>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</si>
  <si>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</si>
  <si>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</si>
  <si>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</si>
  <si>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</si>
  <si>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</si>
  <si>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</si>
  <si>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</si>
  <si>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</si>
  <si>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</si>
  <si>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</si>
  <si>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</si>
  <si>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</si>
  <si>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</si>
  <si>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</si>
  <si>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</si>
  <si>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</si>
  <si>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</si>
  <si>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</si>
  <si>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</si>
  <si>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</si>
  <si>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</si>
  <si>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</si>
  <si>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</si>
  <si>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</si>
  <si>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</si>
  <si>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</si>
  <si>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</si>
  <si>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</si>
  <si>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</si>
  <si>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</si>
  <si>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</si>
  <si>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</si>
  <si>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</si>
  <si>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</si>
  <si>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</si>
  <si>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</si>
  <si>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</si>
  <si>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</si>
  <si>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</si>
  <si>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</si>
  <si>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</si>
  <si>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</si>
  <si>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</si>
  <si>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</si>
  <si>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</si>
  <si>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</si>
  <si>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</si>
  <si>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</si>
  <si>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</si>
  <si>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</si>
  <si>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</si>
  <si>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</si>
  <si>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</si>
  <si>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</si>
  <si>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</si>
  <si>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</si>
  <si>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</si>
  <si>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</si>
  <si>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</si>
  <si>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</si>
  <si>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</si>
  <si>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</si>
  <si>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</si>
  <si>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</si>
  <si>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</si>
  <si>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</si>
  <si>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</si>
  <si>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</si>
  <si>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</si>
  <si>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</si>
  <si>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</si>
  <si>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</si>
  <si>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</si>
  <si>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</si>
  <si>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</si>
  <si>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</si>
  <si>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</si>
  <si>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</si>
  <si>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</si>
  <si>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</si>
  <si>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</si>
  <si>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</si>
  <si>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</si>
  <si>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</si>
  <si>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</si>
  <si>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</si>
  <si>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</si>
  <si>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</si>
  <si>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</si>
  <si>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</si>
  <si>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Оставлен</t>
  </si>
  <si>
    <t xml:space="preserve">Контроль места пункции, повязка на 6 ч. </t>
  </si>
  <si>
    <t>DES, Metafor</t>
  </si>
  <si>
    <t>Artimes</t>
  </si>
  <si>
    <t>NC Apollo</t>
  </si>
  <si>
    <t>50 ml</t>
  </si>
  <si>
    <t>Совместно с д/кардиологом: с учетом клинических данных, ЭКГ и КАГ рекомендовано ЧКВ ПНА.</t>
  </si>
  <si>
    <t>Правый</t>
  </si>
  <si>
    <t>Коллатераьный кровоток: нет.</t>
  </si>
  <si>
    <t>100 ml</t>
  </si>
  <si>
    <t>Хаметов О.В.</t>
  </si>
  <si>
    <t>30:54</t>
  </si>
  <si>
    <t>проходима, контуры ровные, антеградный кровоток TIMI III</t>
  </si>
  <si>
    <t>отходит отдельным устьем от правого синуса, проходима, контуры ровные, антеградный кровоток TIMI III</t>
  </si>
  <si>
    <t>отсутствует</t>
  </si>
  <si>
    <t>150 ml</t>
  </si>
  <si>
    <t>Реканаизация</t>
  </si>
  <si>
    <t>отходит отдельным устьем от левого синуса, оккюзия проксимального сегмента, эмболия апикального сегмента, антеградный кровоток TIMI 0</t>
  </si>
  <si>
    <t xml:space="preserve">Устье ПНА катетеризировано проводниковым катетером Launcher EBU 4,0 6Fr. Коронарный проводник Shunmei (2 шт.) заведены в дистальный сегмент ПНА, ДВ1. Мануальная трамбаспирация катетером Export Advance, поучены фрагменты тромбов. В зону остаточного стеноза проксимального сегмента позиционирован и имплантирован DES Resolute Integrity 4,0 - 22 мм, давлением до 14 атм. Рекроссинг проводников. оптимизация устья ДВ1 через ячейку стента БА Колибри 3,0-12 мм давлением до 12 атм. На контрольных съемках стент раскрыт удовлетворительно, признаков краевых диссекций, тромбоза, экстравазации контрастного вещества не выявлено, антеградный кровоток по ПНА восстановлен до TIMI III, в апикальном сегменте - TIMI 0. Ангиографический результат удовлетворительный. С учетом оккюзии левой ВСА конверсия на тромбэкстракцияю из сосудов ГМ. </t>
  </si>
  <si>
    <t>бедренный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</si>
</sst>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0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16" zoomScaleNormal="100" zoomScaleSheetLayoutView="100" zoomScalePageLayoutView="90" workbookViewId="0">
      <selection activeCell="B16" sqref="B16"/>
    </sheetView>
  </sheetViews>
  <sheetFormatPr defaultColWidth="0" defaultRowHeight="15" zeroHeight="1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 t="s">
        <v>213</v>
      </c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45740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0.72222222222222221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0.72916666666666663</v>
      </c>
      <c r="C10" s="54"/>
      <c r="D10" s="94" t="s">
        <v>173</v>
      </c>
      <c r="E10" s="92"/>
      <c r="F10" s="92"/>
      <c r="G10" s="23" t="s">
        <v>153</v>
      </c>
      <c r="H10" s="25"/>
    </row>
    <row r="11" spans="1:8" ht="17.25" thickTop="1" thickBot="1">
      <c r="A11" s="88" t="s">
        <v>192</v>
      </c>
      <c r="B11" s="201" t="s">
        <v>534</v>
      </c>
      <c r="C11" s="8"/>
      <c r="D11" s="94" t="s">
        <v>170</v>
      </c>
      <c r="E11" s="92"/>
      <c r="F11" s="92"/>
      <c r="G11" s="23" t="s">
        <v>249</v>
      </c>
      <c r="H11" s="25"/>
    </row>
    <row r="12" spans="1:8" ht="16.5" thickTop="1">
      <c r="A12" s="80" t="s">
        <v>8</v>
      </c>
      <c r="B12" s="81">
        <v>27493</v>
      </c>
      <c r="C12" s="11"/>
      <c r="D12" s="94" t="s">
        <v>302</v>
      </c>
      <c r="E12" s="92"/>
      <c r="F12" s="92"/>
      <c r="G12" s="23" t="s">
        <v>261</v>
      </c>
      <c r="H12" s="25"/>
    </row>
    <row r="13" spans="1:8" ht="15.75">
      <c r="A13" s="14" t="s">
        <v>10</v>
      </c>
      <c r="B13" s="29">
        <f>DATEDIF(B12,B8,"y")</f>
        <v>49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8157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3" t="s">
        <v>397</v>
      </c>
      <c r="H15" s="167" t="s">
        <v>535</v>
      </c>
    </row>
    <row r="16" spans="1:8" ht="15.6" customHeight="1">
      <c r="A16" s="14" t="s">
        <v>106</v>
      </c>
      <c r="B16" s="18" t="s">
        <v>483</v>
      </c>
      <c r="C16"/>
      <c r="D16" s="35"/>
      <c r="E16" s="35"/>
      <c r="F16" s="35"/>
      <c r="G16" s="164" t="s">
        <v>399</v>
      </c>
      <c r="H16" s="162">
        <v>16800</v>
      </c>
    </row>
    <row r="17" spans="1:8" ht="14.45" customHeight="1">
      <c r="A17" s="39"/>
      <c r="B17" s="30"/>
      <c r="C17" s="30"/>
      <c r="D17" s="87"/>
      <c r="E17" s="87"/>
      <c r="F17" s="87"/>
      <c r="G17" s="165" t="s">
        <v>386</v>
      </c>
      <c r="H17" s="166">
        <f>H16*0.0019</f>
        <v>31.92</v>
      </c>
    </row>
    <row r="18" spans="1:8" ht="14.45" customHeight="1">
      <c r="A18" s="56" t="s">
        <v>188</v>
      </c>
      <c r="B18" s="86" t="s">
        <v>531</v>
      </c>
      <c r="C18"/>
      <c r="D18" s="27" t="s">
        <v>210</v>
      </c>
      <c r="E18" s="27"/>
      <c r="F18" s="27"/>
      <c r="G18" s="84" t="s">
        <v>189</v>
      </c>
      <c r="H18" s="85" t="s">
        <v>543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4" t="s">
        <v>538</v>
      </c>
      <c r="C20" s="225"/>
      <c r="D20" s="225"/>
      <c r="E20" s="225"/>
      <c r="F20" s="225"/>
      <c r="G20" s="225"/>
      <c r="H20" s="226"/>
    </row>
    <row r="21" spans="1:8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>
      <c r="A22" s="58" t="s">
        <v>271</v>
      </c>
      <c r="B22" s="229" t="s">
        <v>541</v>
      </c>
      <c r="C22" s="229"/>
      <c r="D22" s="229"/>
      <c r="E22" s="229"/>
      <c r="F22" s="229"/>
      <c r="G22" s="229"/>
      <c r="H22" s="230"/>
    </row>
    <row r="23" spans="1:8" ht="14.45" customHeight="1">
      <c r="A23" s="37"/>
      <c r="B23" s="224"/>
      <c r="C23" s="224"/>
      <c r="D23" s="224"/>
      <c r="E23" s="224"/>
      <c r="F23" s="224"/>
      <c r="G23" s="224"/>
      <c r="H23" s="231"/>
    </row>
    <row r="24" spans="1:8" ht="14.45" customHeight="1">
      <c r="A24" s="59"/>
      <c r="B24" s="224"/>
      <c r="C24" s="224"/>
      <c r="D24" s="224"/>
      <c r="E24" s="224"/>
      <c r="F24" s="224"/>
      <c r="G24" s="224"/>
      <c r="H24" s="231"/>
    </row>
    <row r="25" spans="1:8" ht="14.45" customHeight="1">
      <c r="A25" s="37"/>
      <c r="B25" s="224"/>
      <c r="C25" s="224"/>
      <c r="D25" s="224"/>
      <c r="E25" s="224"/>
      <c r="F25" s="224"/>
      <c r="G25" s="224"/>
      <c r="H25" s="231"/>
    </row>
    <row r="26" spans="1:8" ht="14.45" customHeight="1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8" t="s">
        <v>272</v>
      </c>
      <c r="B27" s="229" t="s">
        <v>537</v>
      </c>
      <c r="C27" s="229"/>
      <c r="D27" s="229"/>
      <c r="E27" s="229"/>
      <c r="F27" s="229"/>
      <c r="G27" s="229"/>
      <c r="H27" s="230"/>
    </row>
    <row r="28" spans="1:8" ht="15.6" customHeight="1">
      <c r="A28" s="37"/>
      <c r="B28" s="224"/>
      <c r="C28" s="224"/>
      <c r="D28" s="224"/>
      <c r="E28" s="224"/>
      <c r="F28" s="224"/>
      <c r="G28" s="224"/>
      <c r="H28" s="231"/>
    </row>
    <row r="29" spans="1:8" ht="14.45" customHeight="1">
      <c r="A29" s="37"/>
      <c r="B29" s="224"/>
      <c r="C29" s="224"/>
      <c r="D29" s="224"/>
      <c r="E29" s="224"/>
      <c r="F29" s="224"/>
      <c r="G29" s="224"/>
      <c r="H29" s="231"/>
    </row>
    <row r="30" spans="1:8" ht="14.45" customHeight="1">
      <c r="A30" s="31"/>
      <c r="B30" s="224"/>
      <c r="C30" s="224"/>
      <c r="D30" s="224"/>
      <c r="E30" s="224"/>
      <c r="F30" s="224"/>
      <c r="G30" s="224"/>
      <c r="H30" s="231"/>
    </row>
    <row r="31" spans="1:8" ht="14.45" customHeight="1">
      <c r="A31" s="32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8" t="s">
        <v>273</v>
      </c>
      <c r="B32" s="229" t="s">
        <v>536</v>
      </c>
      <c r="C32" s="229"/>
      <c r="D32" s="229"/>
      <c r="E32" s="229"/>
      <c r="F32" s="229"/>
      <c r="G32" s="229"/>
      <c r="H32" s="230"/>
    </row>
    <row r="33" spans="1:8" ht="14.45" customHeight="1">
      <c r="A33" s="37"/>
      <c r="B33" s="224"/>
      <c r="C33" s="224"/>
      <c r="D33" s="224"/>
      <c r="E33" s="224"/>
      <c r="F33" s="224"/>
      <c r="G33" s="224"/>
      <c r="H33" s="231"/>
    </row>
    <row r="34" spans="1:8" ht="15.6" customHeight="1">
      <c r="A34" s="37"/>
      <c r="B34" s="224"/>
      <c r="C34" s="224"/>
      <c r="D34" s="224"/>
      <c r="E34" s="224"/>
      <c r="F34" s="224"/>
      <c r="G34" s="224"/>
      <c r="H34" s="231"/>
    </row>
    <row r="35" spans="1:8" ht="14.45" customHeight="1">
      <c r="A35" s="37"/>
      <c r="B35" s="224"/>
      <c r="C35" s="224"/>
      <c r="D35" s="224"/>
      <c r="E35" s="224"/>
      <c r="F35" s="224"/>
      <c r="G35" s="224"/>
      <c r="H35" s="231"/>
    </row>
    <row r="36" spans="1:8" ht="15.6" customHeight="1">
      <c r="A36" s="37"/>
      <c r="B36" s="232"/>
      <c r="C36" s="232"/>
      <c r="D36" s="232"/>
      <c r="E36" s="232"/>
      <c r="F36" s="232"/>
      <c r="G36" s="232"/>
      <c r="H36" s="233"/>
    </row>
    <row r="37" spans="1:8" ht="14.45" customHeight="1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 t="s">
        <v>532</v>
      </c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4" t="s">
        <v>530</v>
      </c>
      <c r="E43" s="215"/>
      <c r="F43" s="215"/>
      <c r="G43" s="215"/>
      <c r="H43" s="216"/>
    </row>
    <row r="44" spans="1:8" ht="14.45" customHeight="1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3"/>
      <c r="C49" s="204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>
      <c r="A51" s="61" t="s">
        <v>204</v>
      </c>
      <c r="B51" s="62" t="s">
        <v>529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524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11" zoomScaleNormal="100" zoomScaleSheetLayoutView="100" zoomScalePageLayoutView="90" workbookViewId="0">
      <selection activeCell="B22" sqref="B22"/>
    </sheetView>
  </sheetViews>
  <sheetFormatPr defaultColWidth="0" defaultRowHeight="15" zeroHeight="1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4" t="s">
        <v>242</v>
      </c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3" t="s">
        <v>221</v>
      </c>
      <c r="D8" s="243"/>
      <c r="E8" s="243"/>
      <c r="F8" s="188">
        <v>1</v>
      </c>
      <c r="G8" s="117" t="s">
        <v>308</v>
      </c>
      <c r="H8" s="156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3"/>
      <c r="D9" s="243"/>
      <c r="E9" s="243"/>
      <c r="F9" s="188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7"/>
      <c r="C10" s="247"/>
      <c r="D10" s="247"/>
      <c r="E10" s="247"/>
      <c r="F10" s="191"/>
      <c r="G10" s="117"/>
      <c r="H10" s="38"/>
    </row>
    <row r="11" spans="1:8">
      <c r="A11" s="190"/>
      <c r="B11" s="194"/>
      <c r="C11" s="197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45740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0.72916666666666663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0.77083333333333337</v>
      </c>
      <c r="C14" s="11"/>
      <c r="D14" s="94" t="s">
        <v>173</v>
      </c>
      <c r="E14" s="92"/>
      <c r="F14" s="92"/>
      <c r="G14" s="79" t="str">
        <f>КАГ!G10</f>
        <v>Мелека Е.А.</v>
      </c>
      <c r="H14" s="90" t="str">
        <f>IF(ISBLANK(КАГ!H10),"",КАГ!H10)</f>
        <v/>
      </c>
    </row>
    <row r="15" spans="1:8" ht="16.5" thickBot="1">
      <c r="A15" s="161" t="s">
        <v>385</v>
      </c>
      <c r="B15" s="186">
        <f>IF(B14&lt;B13,B14+1,B14)-B13</f>
        <v>4.1666666666666741E-2</v>
      </c>
      <c r="C15"/>
      <c r="D15" s="94" t="s">
        <v>170</v>
      </c>
      <c r="E15" s="92"/>
      <c r="F15" s="92"/>
      <c r="G15" s="79" t="str">
        <f>КАГ!G11</f>
        <v>Равинская Я.А.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9" t="str">
        <f>КАГ!B11</f>
        <v>Хаметов О.В.</v>
      </c>
      <c r="C16" s="198">
        <f>LEN(КАГ!B11)</f>
        <v>12</v>
      </c>
      <c r="D16" s="94" t="s">
        <v>302</v>
      </c>
      <c r="E16" s="92"/>
      <c r="F16" s="92"/>
      <c r="G16" s="79" t="str">
        <f>КАГ!G12</f>
        <v>Билан Н.В.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27493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49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8157</v>
      </c>
      <c r="C19" s="68"/>
      <c r="D19" s="68"/>
      <c r="E19" s="68"/>
      <c r="F19" s="68"/>
      <c r="G19" s="163" t="s">
        <v>397</v>
      </c>
      <c r="H19" s="178" t="str">
        <f>КАГ!H15</f>
        <v>30:54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4" t="s">
        <v>399</v>
      </c>
      <c r="H20" s="179">
        <f>КАГ!H16</f>
        <v>16800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5" t="s">
        <v>386</v>
      </c>
      <c r="H21" s="166">
        <f>КАГ!H17</f>
        <v>31.92</v>
      </c>
    </row>
    <row r="22" spans="1:8" ht="14.45" customHeight="1">
      <c r="A22" s="56" t="str">
        <f>КАГ!G18</f>
        <v>Доступ:</v>
      </c>
      <c r="B22" s="76" t="str">
        <f>КАГ!H18</f>
        <v>бедренный</v>
      </c>
      <c r="C22" s="69"/>
      <c r="D22" s="69"/>
      <c r="E22" s="69"/>
      <c r="F22" s="69"/>
      <c r="G22" s="182" t="s">
        <v>540</v>
      </c>
      <c r="H22" s="183">
        <v>0.75416666666666676</v>
      </c>
    </row>
    <row r="23" spans="1:8" ht="14.45" customHeight="1">
      <c r="A23" s="64" t="s">
        <v>389</v>
      </c>
      <c r="B23" s="170" t="s">
        <v>388</v>
      </c>
      <c r="C23" s="160"/>
      <c r="D23" s="160"/>
      <c r="E23" s="160"/>
      <c r="F23" s="160"/>
      <c r="G23"/>
      <c r="H23" s="38"/>
    </row>
    <row r="24" spans="1:8" ht="14.45" customHeight="1">
      <c r="A24" s="181" t="s">
        <v>387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51" t="s">
        <v>542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5" t="s">
        <v>393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-----</v>
      </c>
      <c r="F38" s="174"/>
      <c r="G38" s="177"/>
      <c r="H38"/>
    </row>
    <row r="39" spans="1:12" ht="15.75">
      <c r="A39" s="171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2" t="s">
        <v>391</v>
      </c>
      <c r="B40" s="176" t="s">
        <v>533</v>
      </c>
      <c r="C40" s="119"/>
      <c r="D40" s="248" t="s">
        <v>525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8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204</v>
      </c>
      <c r="B50" s="62" t="s">
        <v>539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524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4" t="s">
        <v>369</v>
      </c>
      <c r="B52" s="235"/>
      <c r="C52" s="235"/>
      <c r="D52" s="235"/>
      <c r="E52" s="235"/>
      <c r="F52" s="236"/>
      <c r="G52"/>
      <c r="H52" s="38"/>
    </row>
    <row r="53" spans="1:8" ht="15" customHeight="1">
      <c r="A53" s="237"/>
      <c r="B53" s="238"/>
      <c r="C53" s="238"/>
      <c r="D53" s="238"/>
      <c r="E53" s="238"/>
      <c r="F53" s="239"/>
      <c r="G53" s="73" t="str">
        <f>IF(ISBLANK(H13),"",H13)</f>
        <v/>
      </c>
      <c r="H53" s="63"/>
    </row>
    <row r="54" spans="1:8">
      <c r="A54" s="240"/>
      <c r="B54" s="241"/>
      <c r="C54" s="241"/>
      <c r="D54" s="241"/>
      <c r="E54" s="241"/>
      <c r="F54" s="242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7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отсутствует
Бассейн ПНА:   отходит отдельным устьем от левого синуса, оккюзия проксимального сегмента, эмболия апикального сегмента, антеградный кровоток TIMI 0
Бассейн  ОА:   отходит отдельным устьем от правого синуса, проходима, контуры ровные, антеградный кровоток TIMI III
Бассейн ПКА:   проходима, контуры ровные, антеградный кровоток TIMI III</v>
      </c>
    </row>
    <row r="4" spans="1:1">
      <c r="A4" s="207"/>
    </row>
    <row r="5" spans="1:1">
      <c r="A5" s="207"/>
    </row>
    <row r="6" spans="1:1">
      <c r="A6" s="207"/>
    </row>
    <row r="7" spans="1:1">
      <c r="A7" s="207"/>
    </row>
    <row r="8" spans="1:1">
      <c r="A8" s="207"/>
    </row>
    <row r="9" spans="1:1">
      <c r="A9" s="207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D18" sqref="D18"/>
    </sheetView>
  </sheetViews>
  <sheetFormatPr defaultColWidth="0" defaultRowHeight="15" zeroHeight="1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45740</v>
      </c>
      <c r="C2" s="151" t="str">
        <f>IF(ЧКВ!A6=Вмешательства!D4,Вмешательства!F20,IF(ЧКВ!A6=Вмешательства!D36,Вмешательства!F20,Вмешательства!F22))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2" t="str">
        <f>КАГ!$B$11</f>
        <v>Хаметов О.В.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27493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49</v>
      </c>
    </row>
    <row r="7" spans="1:4">
      <c r="A7" s="37"/>
      <c r="B7"/>
      <c r="C7" s="100" t="s">
        <v>12</v>
      </c>
      <c r="D7" s="102">
        <f>КАГ!$B$14</f>
        <v>8157</v>
      </c>
    </row>
    <row r="8" spans="1:4">
      <c r="A8" s="192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2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3"/>
      <c r="B10" s="30"/>
      <c r="C10" s="149" t="s">
        <v>13</v>
      </c>
      <c r="D10" s="150">
        <f>КАГ!$B$8</f>
        <v>45740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5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325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517</v>
      </c>
      <c r="C15" s="134">
        <v>0.7</v>
      </c>
      <c r="D15" s="139">
        <v>2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322</v>
      </c>
      <c r="C16" s="180" t="s">
        <v>474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373</v>
      </c>
      <c r="C17" s="134" t="s">
        <v>412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8" s="153" t="s">
        <v>368</v>
      </c>
      <c r="C18" s="134"/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0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4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2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3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 B19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0:B21 B17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 B18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398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394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486</v>
      </c>
      <c r="V17" t="s">
        <v>395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304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335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336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346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501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7" sqref="C7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7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4.0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>Колибри</v>
      </c>
      <c r="W2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308</v>
      </c>
      <c r="AO2" s="207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1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Artimes</v>
      </c>
      <c r="Y4" s="114" t="str">
        <f>IFERROR(INDEX(Расходка[Наименование расходного материала],MATCH(Расходка[[#This Row],[№]],Поиск_расходки[Индекс8],0)),"")</f>
        <v>Artimes</v>
      </c>
      <c r="Z4" s="114" t="str">
        <f>IFERROR(INDEX(Расходка[Наименование расходного материала],MATCH(Расходка[[#This Row],[№]],Поиск_расходки[Индекс9],0)),"")</f>
        <v>Artimes</v>
      </c>
      <c r="AA4" s="114" t="str">
        <f>IFERROR(INDEX(Расходка[Наименование расходного материала],MATCH(Расходка[[#This Row],[№]],Поиск_расходки[Индекс10],0)),"")</f>
        <v>Artimes</v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277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Euphora</v>
      </c>
      <c r="Y5" s="114" t="str">
        <f>IFERROR(INDEX(Расходка[Наименование расходного материала],MATCH(Расходка[[#This Row],[№]],Поиск_расходки[Индекс8],0)),"")</f>
        <v>Euphora</v>
      </c>
      <c r="Z5" s="114" t="str">
        <f>IFERROR(INDEX(Расходка[Наименование расходного материала],MATCH(Расходка[[#This Row],[№]],Поиск_расходки[Индекс9],0)),"")</f>
        <v>Euphora</v>
      </c>
      <c r="AA5" s="114" t="str">
        <f>IFERROR(INDEX(Расходка[Наименование расходного материала],MATCH(Расходка[[#This Row],[№]],Поиск_расходки[Индекс10],0)),"")</f>
        <v>Euphora</v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528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Apollo</v>
      </c>
      <c r="Y6" s="114" t="str">
        <f>IFERROR(INDEX(Расходка[Наименование расходного материала],MATCH(Расходка[[#This Row],[№]],Поиск_расходки[Индекс8],0)),"")</f>
        <v>NC Apollo</v>
      </c>
      <c r="Z6" s="114" t="str">
        <f>IFERROR(INDEX(Расходка[Наименование расходного материала],MATCH(Расходка[[#This Row],[№]],Поиск_расходки[Индекс9],0)),"")</f>
        <v>NC Apollo</v>
      </c>
      <c r="AA6" s="114" t="str">
        <f>IFERROR(INDEX(Расходка[Наименование расходного материала],MATCH(Расходка[[#This Row],[№]],Поиск_расходки[Индекс10],0)),"")</f>
        <v>NC Apollo</v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311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NC Accuforce</v>
      </c>
      <c r="Y7" s="114" t="str">
        <f>IFERROR(INDEX(Расходка[Наименование расходного материала],MATCH(Расходка[[#This Row],[№]],Поиск_расходки[Индекс8],0)),"")</f>
        <v>NC Accuforce</v>
      </c>
      <c r="Z7" s="114" t="str">
        <f>IFERROR(INDEX(Расходка[Наименование расходного материала],MATCH(Расходка[[#This Row],[№]],Поиск_расходки[Индекс9],0)),"")</f>
        <v>NC Accuforce</v>
      </c>
      <c r="AA7" s="114" t="str">
        <f>IFERROR(INDEX(Расходка[Наименование расходного материала],MATCH(Расходка[[#This Row],[№]],Поиск_расходки[Индекс10],0)),"")</f>
        <v>NC Accuforce</v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306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NC Euphora</v>
      </c>
      <c r="Y8" s="114" t="str">
        <f>IFERROR(INDEX(Расходка[Наименование расходного материала],MATCH(Расходка[[#This Row],[№]],Поиск_расходки[Индекс8],0)),"")</f>
        <v>NC Euphora</v>
      </c>
      <c r="Z8" s="114" t="str">
        <f>IFERROR(INDEX(Расходка[Наименование расходного материала],MATCH(Расходка[[#This Row],[№]],Поиск_расходки[Индекс9],0)),"")</f>
        <v>NC Euphora</v>
      </c>
      <c r="AA8" s="114" t="str">
        <f>IFERROR(INDEX(Расходка[Наименование расходного материала],MATCH(Расходка[[#This Row],[№]],Поиск_расходки[Индекс10],0)),"")</f>
        <v>NC Euphora</v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276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Sapphire</v>
      </c>
      <c r="Y9" s="114" t="str">
        <f>IFERROR(INDEX(Расходка[Наименование расходного материала],MATCH(Расходка[[#This Row],[№]],Поиск_расходки[Индекс8],0)),"")</f>
        <v>Sapphire</v>
      </c>
      <c r="Z9" s="114" t="str">
        <f>IFERROR(INDEX(Расходка[Наименование расходного материала],MATCH(Расходка[[#This Row],[№]],Поиск_расходки[Индекс9],0)),"")</f>
        <v>Sapphire</v>
      </c>
      <c r="AA9" s="114" t="str">
        <f>IFERROR(INDEX(Расходка[Наименование расходного материала],MATCH(Расходка[[#This Row],[№]],Поиск_расходки[Индекс10],0)),"")</f>
        <v>Sapphire</v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407</v>
      </c>
      <c r="AM9" s="187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312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Sprinter Legend</v>
      </c>
      <c r="Y10" s="114" t="str">
        <f>IFERROR(INDEX(Расходка[Наименование расходного материала],MATCH(Расходка[[#This Row],[№]],Поиск_расходки[Индекс8],0)),"")</f>
        <v>Sprinter Legend</v>
      </c>
      <c r="Z10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10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408</v>
      </c>
      <c r="AI10" t="s">
        <v>354</v>
      </c>
      <c r="AM10" s="187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357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11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11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11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409</v>
      </c>
      <c r="AI11" t="s">
        <v>4</v>
      </c>
      <c r="AM11" s="187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373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1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Колибри</v>
      </c>
      <c r="Y12" s="114" t="str">
        <f>IFERROR(INDEX(Расходка[Наименование расходного материала],MATCH(Расходка[[#This Row],[№]],Поиск_расходки[Индекс8],0)),"")</f>
        <v>Колибри</v>
      </c>
      <c r="Z12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410</v>
      </c>
      <c r="AI12" t="s">
        <v>3</v>
      </c>
      <c r="AM12" s="187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396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2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3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3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512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4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4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4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490</v>
      </c>
      <c r="AI14" t="s">
        <v>5</v>
      </c>
      <c r="AM14" s="187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Fielder</v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Fielder XT-A</v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Fielder XT-R</v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Intuition</v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Rinato</v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Sion</v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Sion Black</v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Sion Blue</v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Thunder</v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518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519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Winn 200T</v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517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1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>Shunmei</v>
      </c>
      <c r="Y54" s="114" t="str">
        <f>IFERROR(INDEX(Расходка[Наименование расходного материала],MATCH(Расходка[[#This Row],[№]],Поиск_расходки[Индекс8],0)),"")</f>
        <v>Shunmei</v>
      </c>
      <c r="Z54" s="114" t="str">
        <f>IFERROR(INDEX(Расходка[Наименование расходного материала],MATCH(Расходка[[#This Row],[№]],Поиск_расходки[Индекс9],0)),"")</f>
        <v>Shunmei</v>
      </c>
      <c r="AA54" s="114" t="str">
        <f>IFERROR(INDEX(Расходка[Наименование расходного материала],MATCH(Расходка[[#This Row],[№]],Поиск_расходки[Индекс10],0)),"")</f>
        <v>Shunmei</v>
      </c>
      <c r="AB54" s="114" t="str">
        <f>IFERROR(INDEX(Расходка[Наименование расходного материала],MATCH(Расходка[[#This Row],[№]],Поиск_расходки[Индекс11],0)),"")</f>
        <v>Shunmei</v>
      </c>
      <c r="AC54" s="114" t="str">
        <f>IFERROR(INDEX(Расходка[Наименование расходного материала],MATCH(Расходка[[#This Row],[№]],Поиск_расходки[Индекс12],0)),"")</f>
        <v>Shunmei</v>
      </c>
      <c r="AD54" s="114" t="str">
        <f>IFERROR(INDEX(Расходка[Наименование расходного материала],MATCH(Расходка[[#This Row],[№]],Поиск_расходки[Индекс13],0)),"")</f>
        <v>Shunmei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520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5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5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5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5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5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5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521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6</v>
      </c>
      <c r="C57" s="1" t="s">
        <v>278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BMS, Integtity</v>
      </c>
      <c r="Y57" s="114" t="str">
        <f>IFERROR(INDEX(Расходка[Наименование расходного материала],MATCH(Расходка[[#This Row],[№]],Поиск_расходки[Индекс8],0)),"")</f>
        <v>BMS, Integtity</v>
      </c>
      <c r="Z57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7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7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7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7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55" t="s">
        <v>344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DES, Calipso</v>
      </c>
      <c r="Y58" s="114" t="str">
        <f>IFERROR(INDEX(Расходка[Наименование расходного материала],MATCH(Расходка[[#This Row],[№]],Поиск_расходки[Индекс8],0)),"")</f>
        <v>DES, Calipso</v>
      </c>
      <c r="Z58" s="114" t="str">
        <f>IFERROR(INDEX(Расходка[Наименование расходного материала],MATCH(Расходка[[#This Row],[№]],Поиск_расходки[Индекс9],0)),"")</f>
        <v>DES, Calipso</v>
      </c>
      <c r="AA58" s="114" t="str">
        <f>IFERROR(INDEX(Расходка[Наименование расходного материала],MATCH(Расходка[[#This Row],[№]],Поиск_расходки[Индекс10],0)),"")</f>
        <v>DES, Calipso</v>
      </c>
      <c r="AB58" s="114" t="str">
        <f>IFERROR(INDEX(Расходка[Наименование расходного материала],MATCH(Расходка[[#This Row],[№]],Поиск_расходки[Индекс11],0)),"")</f>
        <v>DES, Calipso</v>
      </c>
      <c r="AC58" s="114" t="str">
        <f>IFERROR(INDEX(Расходка[Наименование расходного материала],MATCH(Расходка[[#This Row],[№]],Поиск_расходки[Индекс12],0)),"")</f>
        <v>DES, Calipso</v>
      </c>
      <c r="AD58" s="114" t="str">
        <f>IFERROR(INDEX(Расходка[Наименование расходного материала],MATCH(Расходка[[#This Row],[№]],Поиск_расходки[Индекс13],0)),"")</f>
        <v>DES, Calipso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213" t="s">
        <v>526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DES, Metafor</v>
      </c>
      <c r="Y59" s="114" t="str">
        <f>IFERROR(INDEX(Расходка[Наименование расходного материала],MATCH(Расходка[[#This Row],[№]],Поиск_расходки[Индекс8],0)),"")</f>
        <v>DES, Metafor</v>
      </c>
      <c r="Z59" s="114" t="str">
        <f>IFERROR(INDEX(Расходка[Наименование расходного материала],MATCH(Расходка[[#This Row],[№]],Поиск_расходки[Индекс9],0)),"")</f>
        <v>DES, Metafor</v>
      </c>
      <c r="AA59" s="114" t="str">
        <f>IFERROR(INDEX(Расходка[Наименование расходного материала],MATCH(Расходка[[#This Row],[№]],Поиск_расходки[Индекс10],0)),"")</f>
        <v>DES, Metafor</v>
      </c>
      <c r="AB59" s="114" t="str">
        <f>IFERROR(INDEX(Расходка[Наименование расходного материала],MATCH(Расходка[[#This Row],[№]],Поиск_расходки[Индекс11],0)),"")</f>
        <v>DES, Metafor</v>
      </c>
      <c r="AC59" s="114" t="str">
        <f>IFERROR(INDEX(Расходка[Наименование расходного материала],MATCH(Расходка[[#This Row],[№]],Поиск_расходки[Индекс12],0)),"")</f>
        <v>DES, Metafor</v>
      </c>
      <c r="AD59" s="114" t="str">
        <f>IFERROR(INDEX(Расходка[Наименование расходного материала],MATCH(Расходка[[#This Row],[№]],Поиск_расходки[Индекс13],0)),"")</f>
        <v>DES, Metafor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155" t="s">
        <v>343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NanoMed</v>
      </c>
      <c r="Y60" s="114" t="str">
        <f>IFERROR(INDEX(Расходка[Наименование расходного материала],MATCH(Расходка[[#This Row],[№]],Поиск_расходки[Индекс8],0)),"")</f>
        <v>DES, NanoMed</v>
      </c>
      <c r="Z60" s="114" t="str">
        <f>IFERROR(INDEX(Расходка[Наименование расходного материала],MATCH(Расходка[[#This Row],[№]],Поиск_расходки[Индекс9],0)),"")</f>
        <v>DES, NanoMed</v>
      </c>
      <c r="AA60" s="114" t="str">
        <f>IFERROR(INDEX(Расходка[Наименование расходного материала],MATCH(Расходка[[#This Row],[№]],Поиск_расходки[Индекс10],0)),"")</f>
        <v>DES, NanoMed</v>
      </c>
      <c r="AB60" s="114" t="str">
        <f>IFERROR(INDEX(Расходка[Наименование расходного материала],MATCH(Расходка[[#This Row],[№]],Поиск_расходки[Индекс11],0)),"")</f>
        <v>DES, NanoMed</v>
      </c>
      <c r="AC60" s="114" t="str">
        <f>IFERROR(INDEX(Расходка[Наименование расходного материала],MATCH(Расходка[[#This Row],[№]],Поиск_расходки[Индекс12],0)),"")</f>
        <v>DES, NanoMed</v>
      </c>
      <c r="AD60" s="114" t="str">
        <f>IFERROR(INDEX(Расходка[Наименование расходного материала],MATCH(Расходка[[#This Row],[№]],Поиск_расходки[Индекс13],0)),"")</f>
        <v>DES, NanoMed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29" t="s">
        <v>322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1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1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356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2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2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2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2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2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2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s="159" t="s">
        <v>384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DES, Firehawk</v>
      </c>
      <c r="Y63" s="114" t="str">
        <f>IFERROR(INDEX(Расходка[Наименование расходного материала],MATCH(Расходка[[#This Row],[№]],Поиск_расходки[Индекс8],0)),"")</f>
        <v>DES, Firehawk</v>
      </c>
      <c r="Z63" s="114" t="str">
        <f>IFERROR(INDEX(Расходка[Наименование расходного материала],MATCH(Расходка[[#This Row],[№]],Поиск_расходки[Индекс9],0)),"")</f>
        <v>DES, Firehawk</v>
      </c>
      <c r="AA63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3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3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3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383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4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4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4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4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4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4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515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5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5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5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5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5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5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516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Meril Evermine50™</v>
      </c>
      <c r="Y66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6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6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6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6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6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323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0</v>
      </c>
      <c r="K67" s="195">
        <f>IF(ISNUMBER(SEARCH('Карта учёта'!$B$19,Расходка[[#This Row],[Наименование расходного материала]])),MAX($K$1:K66)+1,0)</f>
        <v>66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>Guidezilla™ II 6F</v>
      </c>
      <c r="Y67" s="196" t="str">
        <f>IFERROR(INDEX(Расходка[Наименование расходного материала],MATCH(Расходка[[#This Row],[№]],Поиск_расходки[Индекс8],0)),"")</f>
        <v>Guidezilla™ II 6F</v>
      </c>
      <c r="Z67" s="196" t="str">
        <f>IFERROR(INDEX(Расходка[Наименование расходного материала],MATCH(Расходка[[#This Row],[№]],Поиск_расходки[Индекс9],0)),"")</f>
        <v>Guidezilla™ II 6F</v>
      </c>
      <c r="AA67" s="196" t="str">
        <f>IFERROR(INDEX(Расходка[Наименование расходного материала],MATCH(Расходка[[#This Row],[№]],Поиск_расходки[Индекс10],0)),"")</f>
        <v>Guidezilla™ II 6F</v>
      </c>
      <c r="AB67" s="196" t="str">
        <f>IFERROR(INDEX(Расходка[Наименование расходного материала],MATCH(Расходка[[#This Row],[№]],Поиск_расходки[Индекс11],0)),"")</f>
        <v>Guidezilla™ II 6F</v>
      </c>
      <c r="AC67" s="196" t="str">
        <f>IFERROR(INDEX(Расходка[Наименование расходного материала],MATCH(Расходка[[#This Row],[№]],Поиск_расходки[Индекс12],0)),"")</f>
        <v>Guidezilla™ II 6F</v>
      </c>
      <c r="AD67" s="196" t="str">
        <f>IFERROR(INDEX(Расходка[Наименование расходного материала],MATCH(Расходка[[#This Row],[№]],Поиск_расходки[Индекс13],0)),"")</f>
        <v>Guidezilla™ II 6F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342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0</v>
      </c>
      <c r="K68" s="195">
        <f>IF(ISNUMBER(SEARCH('Карта учёта'!$B$19,Расходка[[#This Row],[Наименование расходного материала]])),MAX($K$1:K67)+1,0)</f>
        <v>67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>Telescope ™ II 6F</v>
      </c>
      <c r="Y68" s="196" t="str">
        <f>IFERROR(INDEX(Расходка[Наименование расходного материала],MATCH(Расходка[[#This Row],[№]],Поиск_расходки[Индекс8],0)),"")</f>
        <v>Telescope ™ II 6F</v>
      </c>
      <c r="Z68" s="196" t="str">
        <f>IFERROR(INDEX(Расходка[Наименование расходного материала],MATCH(Расходка[[#This Row],[№]],Поиск_расходки[Индекс9],0)),"")</f>
        <v>Telescope ™ II 6F</v>
      </c>
      <c r="AA68" s="196" t="str">
        <f>IFERROR(INDEX(Расходка[Наименование расходного материала],MATCH(Расходка[[#This Row],[№]],Поиск_расходки[Индекс10],0)),"")</f>
        <v>Telescope ™ II 6F</v>
      </c>
      <c r="AB68" s="196" t="str">
        <f>IFERROR(INDEX(Расходка[Наименование расходного материала],MATCH(Расходка[[#This Row],[№]],Поиск_расходки[Индекс11],0)),"")</f>
        <v>Telescope ™ II 6F</v>
      </c>
      <c r="AC68" s="196" t="str">
        <f>IFERROR(INDEX(Расходка[Наименование расходного материала],MATCH(Расходка[[#This Row],[№]],Поиск_расходки[Индекс12],0)),"")</f>
        <v>Telescope ™ II 6F</v>
      </c>
      <c r="AD68" s="196" t="str">
        <f>IFERROR(INDEX(Расходка[Наименование расходного материала],MATCH(Расходка[[#This Row],[№]],Поиск_расходки[Индекс13],0)),"")</f>
        <v>Telescope ™ II 6F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349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0</v>
      </c>
      <c r="K69" s="195">
        <f>IF(ISNUMBER(SEARCH('Карта учёта'!$B$19,Расходка[[#This Row],[Наименование расходного материала]])),MAX($K$1:K68)+1,0)</f>
        <v>68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>Launcher 6F AL 1</v>
      </c>
      <c r="Y69" s="196" t="str">
        <f>IFERROR(INDEX(Расходка[Наименование расходного материала],MATCH(Расходка[[#This Row],[№]],Поиск_расходки[Индекс8],0)),"")</f>
        <v>Launcher 6F AL 1</v>
      </c>
      <c r="Z69" s="196" t="str">
        <f>IFERROR(INDEX(Расходка[Наименование расходного материала],MATCH(Расходка[[#This Row],[№]],Поиск_расходки[Индекс9],0)),"")</f>
        <v>Launcher 6F AL 1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AL 1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AL 1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AL 1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AL 1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350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0</v>
      </c>
      <c r="K70" s="195">
        <f>IF(ISNUMBER(SEARCH('Карта учёта'!$B$19,Расходка[[#This Row],[Наименование расходного материала]])),MAX($K$1:K69)+1,0)</f>
        <v>69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>Launcher 6F AL 2</v>
      </c>
      <c r="Y70" s="196" t="str">
        <f>IFERROR(INDEX(Расходка[Наименование расходного материала],MATCH(Расходка[[#This Row],[№]],Поиск_расходки[Индекс8],0)),"")</f>
        <v>Launcher 6F AL 2</v>
      </c>
      <c r="Z70" s="196" t="str">
        <f>IFERROR(INDEX(Расходка[Наименование расходного материала],MATCH(Расходка[[#This Row],[№]],Поиск_расходки[Индекс9],0)),"")</f>
        <v>Launcher 6F AL 2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AL 2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AL 2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AL 2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AL 2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324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0</v>
      </c>
      <c r="K71" s="195">
        <f>IF(ISNUMBER(SEARCH('Карта учёта'!$B$19,Расходка[[#This Row],[Наименование расходного материала]])),MAX($K$1:K70)+1,0)</f>
        <v>70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>Launcher 6F EBU 3.5</v>
      </c>
      <c r="Y71" s="196" t="str">
        <f>IFERROR(INDEX(Расходка[Наименование расходного материала],MATCH(Расходка[[#This Row],[№]],Поиск_расходки[Индекс8],0)),"")</f>
        <v>Launcher 6F EBU 3.5</v>
      </c>
      <c r="Z71" s="196" t="str">
        <f>IFERROR(INDEX(Расходка[Наименование расходного материала],MATCH(Расходка[[#This Row],[№]],Поиск_расходки[Индекс9],0)),"")</f>
        <v>Launcher 6F EBU 3.5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325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1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0</v>
      </c>
      <c r="K72" s="195">
        <f>IF(ISNUMBER(SEARCH('Карта учёта'!$B$19,Расходка[[#This Row],[Наименование расходного материала]])),MAX($K$1:K71)+1,0)</f>
        <v>71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>Launcher 6F EBU 4.0</v>
      </c>
      <c r="Y72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72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326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0</v>
      </c>
      <c r="K73" s="195">
        <f>IF(ISNUMBER(SEARCH('Карта учёта'!$B$19,Расходка[[#This Row],[Наименование расходного материала]])),MAX($K$1:K72)+1,0)</f>
        <v>72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>Launcher 6F JL 3.5</v>
      </c>
      <c r="Y73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73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73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327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0</v>
      </c>
      <c r="K74" s="195">
        <f>IF(ISNUMBER(SEARCH('Карта учёта'!$B$19,Расходка[[#This Row],[Наименование расходного материала]])),MAX($K$1:K73)+1,0)</f>
        <v>73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>Launcher 6F JL 4.0</v>
      </c>
      <c r="Y74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74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74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4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333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0</v>
      </c>
      <c r="K75" s="195">
        <f>IF(ISNUMBER(SEARCH('Карта учёта'!$B$19,Расходка[[#This Row],[Наименование расходного материала]])),MAX($K$1:K74)+1,0)</f>
        <v>74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>Launcher 6F JL 4.5</v>
      </c>
      <c r="Y75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5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5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5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5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5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328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75</v>
      </c>
      <c r="L76" s="195">
        <f>IF(ISNUMBER(SEARCH('Карта учёта'!$B$20,Расходка[[#This Row],[Наименование расходного материала]])),MAX($L$1:L75)+1,0)</f>
        <v>75</v>
      </c>
      <c r="M76" s="195">
        <f>IF(ISNUMBER(SEARCH('Карта учёта'!$B$21,Расходка[[#This Row],[Наименование расходного материала]])),MAX($M$1:M75)+1,0)</f>
        <v>75</v>
      </c>
      <c r="N76" s="195">
        <f>IF(ISNUMBER(SEARCH('Карта учёта'!$B$22,Расходка[[#This Row],[Наименование расходного материала]])),MAX($N$1:N75)+1,0)</f>
        <v>75</v>
      </c>
      <c r="O76" s="195">
        <f>IF(ISNUMBER(SEARCH('Карта учёта'!$B$23,Расходка[[#This Row],[Наименование расходного материала]])),MAX($O$1:O75)+1,0)</f>
        <v>75</v>
      </c>
      <c r="P76" s="195">
        <f>IF(ISNUMBER(SEARCH('Карта учёта'!$B$24,Расходка[[#This Row],[Наименование расходного материала]])),MAX($P$1:P75)+1,0)</f>
        <v>75</v>
      </c>
      <c r="Q76" s="195">
        <f>IF(ISNUMBER(SEARCH('Карта учёта'!$B$25,Расходка[[#This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>Launcher 6F JR 3.5</v>
      </c>
      <c r="Y76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6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6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6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6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6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329</v>
      </c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76</v>
      </c>
      <c r="L77" s="195">
        <f>IF(ISNUMBER(SEARCH('Карта учёта'!$B$20,Расходка[[#This Row],[Наименование расходного материала]])),MAX($L$1:L76)+1,0)</f>
        <v>76</v>
      </c>
      <c r="M77" s="195">
        <f>IF(ISNUMBER(SEARCH('Карта учёта'!$B$21,Расходка[[#This Row],[Наименование расходного материала]])),MAX($M$1:M76)+1,0)</f>
        <v>76</v>
      </c>
      <c r="N77" s="195">
        <f>IF(ISNUMBER(SEARCH('Карта учёта'!$B$22,Расходка[[#This Row],[Наименование расходного материала]])),MAX($N$1:N76)+1,0)</f>
        <v>76</v>
      </c>
      <c r="O77" s="195">
        <f>IF(ISNUMBER(SEARCH('Карта учёта'!$B$23,Расходка[[#This Row],[Наименование расходного материала]])),MAX($O$1:O76)+1,0)</f>
        <v>76</v>
      </c>
      <c r="P77" s="195">
        <f>IF(ISNUMBER(SEARCH('Карта учёта'!$B$24,Расходка[[#This Row],[Наименование расходного материала]])),MAX($P$1:P76)+1,0)</f>
        <v>76</v>
      </c>
      <c r="Q77" s="195">
        <f>IF(ISNUMBER(SEARCH('Карта учёта'!$B$25,Расходка[[#This Row],[Наименование расходного материала]])),MAX($Q$1:Q76)+1,0)</f>
        <v>76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>Launcher 6F JR 4.0</v>
      </c>
      <c r="Y77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7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7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7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7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7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339</v>
      </c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77</v>
      </c>
      <c r="L78" s="195">
        <f>IF(ISNUMBER(SEARCH('Карта учёта'!$B$20,Расходка[[#This Row],[Наименование расходного материала]])),MAX($L$1:L77)+1,0)</f>
        <v>77</v>
      </c>
      <c r="M78" s="195">
        <f>IF(ISNUMBER(SEARCH('Карта учёта'!$B$21,Расходка[[#This Row],[Наименование расходного материала]])),MAX($M$1:M77)+1,0)</f>
        <v>77</v>
      </c>
      <c r="N78" s="195">
        <f>IF(ISNUMBER(SEARCH('Карта учёта'!$B$22,Расходка[[#This Row],[Наименование расходного материала]])),MAX($N$1:N77)+1,0)</f>
        <v>77</v>
      </c>
      <c r="O78" s="195">
        <f>IF(ISNUMBER(SEARCH('Карта учёта'!$B$23,Расходка[[#This Row],[Наименование расходного материала]])),MAX($O$1:O77)+1,0)</f>
        <v>77</v>
      </c>
      <c r="P78" s="195">
        <f>IF(ISNUMBER(SEARCH('Карта учёта'!$B$24,Расходка[[#This Row],[Наименование расходного материала]])),MAX($P$1:P77)+1,0)</f>
        <v>77</v>
      </c>
      <c r="Q78" s="195">
        <f>IF(ISNUMBER(SEARCH('Карта учёта'!$B$25,Расходка[[#This Row],[Наименование расходного материала]])),MAX($Q$1:Q77)+1,0)</f>
        <v>77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>Launcher 7F JL 3.5</v>
      </c>
      <c r="Y78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8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8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8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8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8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338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301</v>
      </c>
      <c r="C80" s="1" t="s">
        <v>330</v>
      </c>
      <c r="AF80" s="4" t="s">
        <v>6</v>
      </c>
      <c r="AG80" s="4" t="s">
        <v>469</v>
      </c>
    </row>
    <row r="81" spans="32:33">
      <c r="AF81" s="4" t="s">
        <v>6</v>
      </c>
      <c r="AG81" s="4" t="s">
        <v>470</v>
      </c>
    </row>
    <row r="82" spans="32:33">
      <c r="AF82" s="4" t="s">
        <v>6</v>
      </c>
      <c r="AG82" s="4" t="s">
        <v>471</v>
      </c>
    </row>
    <row r="83" spans="32:33">
      <c r="AF83" s="4" t="s">
        <v>6</v>
      </c>
      <c r="AG83" s="4" t="s">
        <v>472</v>
      </c>
    </row>
    <row r="84" spans="32:33">
      <c r="AF84" s="4" t="s">
        <v>6</v>
      </c>
      <c r="AG84" s="4" t="s">
        <v>423</v>
      </c>
    </row>
    <row r="85" spans="32:33">
      <c r="AF85" s="4" t="s">
        <v>6</v>
      </c>
      <c r="AG85" s="4" t="s">
        <v>424</v>
      </c>
    </row>
    <row r="86" spans="32:33">
      <c r="AF86" s="4" t="s">
        <v>6</v>
      </c>
      <c r="AG86" s="4" t="s">
        <v>473</v>
      </c>
    </row>
    <row r="87" spans="32:33">
      <c r="AF87" s="4" t="s">
        <v>6</v>
      </c>
      <c r="AG87" s="4" t="s">
        <v>474</v>
      </c>
    </row>
    <row r="88" spans="32:33">
      <c r="AF88" s="4" t="s">
        <v>6</v>
      </c>
      <c r="AG88" s="4" t="s">
        <v>475</v>
      </c>
    </row>
    <row r="89" spans="32:33">
      <c r="AF89" s="4" t="s">
        <v>6</v>
      </c>
      <c r="AG89" s="4" t="s">
        <v>476</v>
      </c>
    </row>
    <row r="90" spans="32:33">
      <c r="AF90" s="4" t="s">
        <v>6</v>
      </c>
      <c r="AG90" s="4" t="s">
        <v>477</v>
      </c>
    </row>
    <row r="91" spans="32:33">
      <c r="AF91" s="4" t="s">
        <v>6</v>
      </c>
      <c r="AG91" s="4" t="s">
        <v>478</v>
      </c>
    </row>
    <row r="92" spans="32:33">
      <c r="AF92" s="4" t="s">
        <v>6</v>
      </c>
      <c r="AG92" s="4" t="s">
        <v>479</v>
      </c>
    </row>
    <row r="93" spans="32:33">
      <c r="AF93" s="4" t="s">
        <v>6</v>
      </c>
      <c r="AG93" s="4" t="s">
        <v>480</v>
      </c>
    </row>
    <row r="94" spans="32:33">
      <c r="AF94" s="4" t="s">
        <v>6</v>
      </c>
      <c r="AG94" s="4" t="s">
        <v>427</v>
      </c>
    </row>
    <row r="95" spans="32:33">
      <c r="AF95" s="4" t="s">
        <v>6</v>
      </c>
      <c r="AG95" s="4" t="s">
        <v>428</v>
      </c>
    </row>
    <row r="96" spans="32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0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523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Экстренный Ангиограф</dc:creator>
  <cp:lastModifiedBy>Экстренный Ангиограф</cp:lastModifiedBy>
  <cp:lastPrinted>2025-03-24T17:39:15Z</cp:lastPrinted>
  <dcterms:created xsi:type="dcterms:W3CDTF">2015-06-05T18:19:34Z</dcterms:created>
  <dcterms:modified xsi:type="dcterms:W3CDTF">2025-03-24T17:39:16Z</dcterms:modified>
</cp:coreProperties>
</file>