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9040" windowHeight="15840"/>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9" l="1"/>
  <c r="H20" i="9" l="1"/>
  <c r="H19" i="9"/>
  <c r="A14" i="1" l="1"/>
  <c r="A13" i="1" l="1"/>
  <c r="E79" i="1" l="1"/>
  <c r="E80" i="1"/>
  <c r="E81" i="1"/>
  <c r="E82" i="1"/>
  <c r="E83" i="1"/>
  <c r="E84" i="1"/>
  <c r="E85" i="1"/>
  <c r="E86" i="1"/>
  <c r="F82" i="1"/>
  <c r="F83" i="1"/>
  <c r="F84" i="1"/>
  <c r="F85" i="1"/>
  <c r="F86" i="1"/>
  <c r="G82" i="1"/>
  <c r="G83" i="1"/>
  <c r="G84" i="1"/>
  <c r="G85" i="1"/>
  <c r="G86" i="1"/>
  <c r="H82" i="1"/>
  <c r="H83" i="1"/>
  <c r="H84" i="1"/>
  <c r="H85" i="1"/>
  <c r="H86" i="1"/>
  <c r="I82" i="1"/>
  <c r="I83" i="1"/>
  <c r="I84" i="1"/>
  <c r="I85" i="1"/>
  <c r="I86" i="1"/>
  <c r="J82" i="1"/>
  <c r="J83" i="1"/>
  <c r="J84" i="1"/>
  <c r="J85" i="1"/>
  <c r="J86" i="1"/>
  <c r="K82" i="1"/>
  <c r="K83" i="1"/>
  <c r="K84" i="1"/>
  <c r="K85" i="1"/>
  <c r="K86" i="1"/>
  <c r="L82" i="1"/>
  <c r="L83" i="1"/>
  <c r="L84" i="1"/>
  <c r="L85" i="1"/>
  <c r="L86" i="1"/>
  <c r="M82" i="1"/>
  <c r="M83" i="1"/>
  <c r="M84" i="1"/>
  <c r="M85" i="1"/>
  <c r="M86" i="1"/>
  <c r="N82" i="1"/>
  <c r="N83" i="1"/>
  <c r="N84" i="1"/>
  <c r="N85" i="1"/>
  <c r="N86" i="1"/>
  <c r="O82" i="1"/>
  <c r="O83" i="1"/>
  <c r="O84" i="1"/>
  <c r="O85" i="1"/>
  <c r="O86" i="1"/>
  <c r="P82" i="1"/>
  <c r="P83" i="1"/>
  <c r="P84" i="1"/>
  <c r="P85" i="1"/>
  <c r="P86" i="1"/>
  <c r="Q82" i="1"/>
  <c r="Q83" i="1"/>
  <c r="Q84" i="1"/>
  <c r="Q85" i="1"/>
  <c r="Q86" i="1"/>
  <c r="R82" i="1"/>
  <c r="R83" i="1"/>
  <c r="R84" i="1"/>
  <c r="R85" i="1"/>
  <c r="R86" i="1"/>
  <c r="S82" i="1"/>
  <c r="S83" i="1"/>
  <c r="S84" i="1"/>
  <c r="S85" i="1"/>
  <c r="S86" i="1"/>
  <c r="T82" i="1"/>
  <c r="T83" i="1"/>
  <c r="T84" i="1"/>
  <c r="T85" i="1"/>
  <c r="T86" i="1"/>
  <c r="U82" i="1"/>
  <c r="U83" i="1"/>
  <c r="U84" i="1"/>
  <c r="U85" i="1"/>
  <c r="U86" i="1"/>
  <c r="V82" i="1"/>
  <c r="V83" i="1"/>
  <c r="V84" i="1"/>
  <c r="V85" i="1"/>
  <c r="V86" i="1"/>
  <c r="W82" i="1"/>
  <c r="W83" i="1"/>
  <c r="W84" i="1"/>
  <c r="W85" i="1"/>
  <c r="W86" i="1"/>
  <c r="X82" i="1"/>
  <c r="X83" i="1"/>
  <c r="X84" i="1"/>
  <c r="X85" i="1"/>
  <c r="X86" i="1"/>
  <c r="Y82" i="1"/>
  <c r="Y83" i="1"/>
  <c r="Y84" i="1"/>
  <c r="Y85" i="1"/>
  <c r="Y86" i="1"/>
  <c r="Z82" i="1"/>
  <c r="Z83" i="1"/>
  <c r="Z84" i="1"/>
  <c r="Z85" i="1"/>
  <c r="Z86" i="1"/>
  <c r="AA82" i="1"/>
  <c r="AA83" i="1"/>
  <c r="AA84" i="1"/>
  <c r="AA85" i="1"/>
  <c r="AA86" i="1"/>
  <c r="AB82" i="1"/>
  <c r="AB83" i="1"/>
  <c r="AB84" i="1"/>
  <c r="AB85" i="1"/>
  <c r="AB86" i="1"/>
  <c r="AC82" i="1"/>
  <c r="AC83" i="1"/>
  <c r="AC84" i="1"/>
  <c r="AC85" i="1"/>
  <c r="AC86" i="1"/>
  <c r="AD82" i="1"/>
  <c r="AD83" i="1"/>
  <c r="AD84" i="1"/>
  <c r="AD85" i="1"/>
  <c r="AD86" i="1"/>
  <c r="A55" i="1"/>
  <c r="D42" i="6" l="1"/>
  <c r="E38" i="9"/>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 i="4"/>
  <c r="A4" i="4"/>
  <c r="A2" i="4"/>
  <c r="A60" i="1" l="1"/>
  <c r="B13" i="9" l="1"/>
  <c r="A57" i="1" l="1"/>
  <c r="A56" i="1"/>
  <c r="A3" i="1"/>
  <c r="A4" i="1"/>
  <c r="A5" i="1"/>
  <c r="A6" i="1"/>
  <c r="A7" i="1"/>
  <c r="A8" i="1"/>
  <c r="A9" i="1"/>
  <c r="A10" i="1"/>
  <c r="A11" i="1"/>
  <c r="A12"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8" i="1"/>
  <c r="A59" i="1"/>
  <c r="A61" i="1"/>
  <c r="A62" i="1"/>
  <c r="A63" i="1"/>
  <c r="A64" i="1"/>
  <c r="A65" i="1"/>
  <c r="A66" i="1"/>
  <c r="A67" i="1"/>
  <c r="A68" i="1"/>
  <c r="A69" i="1"/>
  <c r="A70" i="1"/>
  <c r="A71" i="1"/>
  <c r="A72" i="1"/>
  <c r="A73" i="1"/>
  <c r="A74" i="1"/>
  <c r="A75" i="1"/>
  <c r="A76" i="1"/>
  <c r="A77" i="1"/>
  <c r="A78" i="1"/>
  <c r="A79" i="1"/>
  <c r="A80" i="1"/>
  <c r="A81" i="1"/>
  <c r="A2" i="1"/>
  <c r="A1" i="11" l="1"/>
  <c r="A3" i="11"/>
  <c r="A18" i="3" l="1"/>
  <c r="C15" i="5" l="1"/>
  <c r="B15" i="9" l="1"/>
  <c r="E71" i="1" l="1"/>
  <c r="E72" i="1"/>
  <c r="E73" i="1"/>
  <c r="E74" i="1"/>
  <c r="E75" i="1"/>
  <c r="E76" i="1"/>
  <c r="E77" i="1"/>
  <c r="E78" i="1"/>
  <c r="C16" i="9" l="1"/>
  <c r="E69" i="1" l="1"/>
  <c r="E70" i="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H17" i="6" l="1"/>
  <c r="H21" i="9" l="1"/>
  <c r="C4" i="5" l="1"/>
  <c r="C18" i="5" l="1"/>
  <c r="A16" i="3" l="1"/>
  <c r="B5" i="3" l="1"/>
  <c r="B16" i="9" l="1"/>
  <c r="G17" i="9" l="1"/>
  <c r="Q2" i="1"/>
  <c r="P2" i="1"/>
  <c r="O2" i="1"/>
  <c r="N2" i="1"/>
  <c r="M2" i="1"/>
  <c r="L2" i="1"/>
  <c r="K2" i="1"/>
  <c r="I2" i="1"/>
  <c r="J2" i="1"/>
  <c r="G2" i="1"/>
  <c r="H2" i="1"/>
  <c r="F2" i="1"/>
  <c r="E2" i="1"/>
  <c r="A5" i="3"/>
  <c r="B6" i="3"/>
  <c r="G51" i="9"/>
  <c r="G14" i="9"/>
  <c r="H13" i="9"/>
  <c r="G53" i="9" s="1"/>
  <c r="H14" i="9"/>
  <c r="H15" i="9"/>
  <c r="H16" i="9"/>
  <c r="H17" i="9"/>
  <c r="G16" i="9"/>
  <c r="G15" i="9"/>
  <c r="G53" i="6"/>
  <c r="B22" i="9"/>
  <c r="A22" i="9"/>
  <c r="B12" i="9"/>
  <c r="B17" i="9"/>
  <c r="B19" i="9"/>
  <c r="B20" i="9"/>
  <c r="B21" i="9"/>
  <c r="C2" i="3" s="1"/>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J8" i="1"/>
  <c r="E11" i="1"/>
  <c r="E12" i="1" s="1"/>
  <c r="E13" i="1" s="1"/>
  <c r="E14" i="1" s="1"/>
  <c r="E15" i="1" s="1"/>
  <c r="M8" i="1"/>
  <c r="N10" i="1"/>
  <c r="I8" i="1"/>
  <c r="G9" i="1"/>
  <c r="H9" i="1"/>
  <c r="F8" i="1"/>
  <c r="K9" i="1"/>
  <c r="L10" i="1"/>
  <c r="Q9" i="1" l="1"/>
  <c r="O11" i="1"/>
  <c r="O12" i="1" s="1"/>
  <c r="O13" i="1" s="1"/>
  <c r="O14" i="1" s="1"/>
  <c r="O15" i="1" s="1"/>
  <c r="P10"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F18" i="1" s="1"/>
  <c r="F19" i="1" s="1"/>
  <c r="N16" i="1"/>
  <c r="N17" i="1" s="1"/>
  <c r="J17" i="1"/>
  <c r="J18" i="1" s="1"/>
  <c r="Q59" i="1"/>
  <c r="Q60"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57" i="1"/>
  <c r="H23" i="1"/>
  <c r="K18" i="1"/>
  <c r="K19" i="1" s="1"/>
  <c r="K20" i="1" s="1"/>
  <c r="K21" i="1" s="1"/>
  <c r="K22" i="1" s="1"/>
  <c r="K23" i="1" s="1"/>
  <c r="K24" i="1" s="1"/>
  <c r="I25" i="1"/>
  <c r="I26" i="1" s="1"/>
  <c r="AD4" i="1"/>
  <c r="AD6" i="1"/>
  <c r="AD5" i="1"/>
  <c r="AD7" i="1"/>
  <c r="AD15" i="1"/>
  <c r="AD13" i="1"/>
  <c r="M21" i="1"/>
  <c r="L18" i="1"/>
  <c r="G16" i="1"/>
  <c r="G17" i="1" s="1"/>
  <c r="F20" i="1"/>
  <c r="AD59" i="1" l="1"/>
  <c r="O56" i="1"/>
  <c r="O57" i="1" s="1"/>
  <c r="P17" i="1"/>
  <c r="E66" i="1"/>
  <c r="Q62" i="1"/>
  <c r="J22" i="1"/>
  <c r="J23" i="1" s="1"/>
  <c r="J24" i="1" s="1"/>
  <c r="N20" i="1"/>
  <c r="N21" i="1" s="1"/>
  <c r="N22" i="1" s="1"/>
  <c r="K25" i="1"/>
  <c r="K26" i="1" s="1"/>
  <c r="K27" i="1" s="1"/>
  <c r="H24" i="1"/>
  <c r="AD18" i="1"/>
  <c r="G18" i="1"/>
  <c r="G19" i="1" s="1"/>
  <c r="G20" i="1" s="1"/>
  <c r="I27" i="1"/>
  <c r="M22" i="1"/>
  <c r="L19" i="1"/>
  <c r="L20" i="1" s="1"/>
  <c r="F21" i="1"/>
  <c r="AD60" i="1" l="1"/>
  <c r="O58" i="1"/>
  <c r="O59" i="1" s="1"/>
  <c r="P18" i="1"/>
  <c r="E67" i="1"/>
  <c r="Q63" i="1"/>
  <c r="Q64" i="1" s="1"/>
  <c r="Q65" i="1" s="1"/>
  <c r="Q66" i="1" s="1"/>
  <c r="K28" i="1"/>
  <c r="K29" i="1" s="1"/>
  <c r="AD26" i="1"/>
  <c r="G21" i="1"/>
  <c r="G22" i="1" s="1"/>
  <c r="G23" i="1" s="1"/>
  <c r="H25" i="1"/>
  <c r="I28" i="1"/>
  <c r="M23" i="1"/>
  <c r="J25" i="1"/>
  <c r="N23" i="1"/>
  <c r="L21" i="1"/>
  <c r="F22" i="1"/>
  <c r="AD62" i="1" l="1"/>
  <c r="AD61" i="1"/>
  <c r="O60" i="1"/>
  <c r="O61" i="1" s="1"/>
  <c r="O62" i="1" s="1"/>
  <c r="P19" i="1"/>
  <c r="E68" i="1"/>
  <c r="R81" i="1" s="1"/>
  <c r="Q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9" i="1" l="1"/>
  <c r="R80" i="1"/>
  <c r="R77" i="1"/>
  <c r="R78" i="1"/>
  <c r="R75" i="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AD66" i="1" l="1"/>
  <c r="O64" i="1"/>
  <c r="P21" i="1"/>
  <c r="Q69" i="1"/>
  <c r="AD67" i="1" s="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Q70" i="1"/>
  <c r="J50" i="1"/>
  <c r="J51" i="1" s="1"/>
  <c r="H47" i="1"/>
  <c r="H48" i="1" s="1"/>
  <c r="I47" i="1"/>
  <c r="I48" i="1" s="1"/>
  <c r="I49" i="1" s="1"/>
  <c r="I50" i="1" s="1"/>
  <c r="K43" i="1"/>
  <c r="N27" i="1"/>
  <c r="M28" i="1"/>
  <c r="M29" i="1" s="1"/>
  <c r="L30" i="1"/>
  <c r="G29" i="1"/>
  <c r="F28" i="1"/>
  <c r="Q71" i="1" l="1"/>
  <c r="Q72" i="1" s="1"/>
  <c r="AD68" i="1"/>
  <c r="AD69" i="1"/>
  <c r="O66" i="1"/>
  <c r="O67" i="1" s="1"/>
  <c r="O68" i="1" s="1"/>
  <c r="P23" i="1"/>
  <c r="AD58" i="1"/>
  <c r="Q73" i="1"/>
  <c r="AD71"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Q74" i="1"/>
  <c r="AD72" i="1" s="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Q75" i="1" l="1"/>
  <c r="AD73" i="1" s="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N31" i="1"/>
  <c r="O74" i="1" l="1"/>
  <c r="Q76" i="1"/>
  <c r="AD74" i="1"/>
  <c r="P26" i="1"/>
  <c r="H65" i="1"/>
  <c r="J67"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AD36" i="1"/>
  <c r="G48" i="1"/>
  <c r="K48" i="1"/>
  <c r="L36" i="1"/>
  <c r="M35" i="1"/>
  <c r="N34" i="1"/>
  <c r="N35" i="1" s="1"/>
  <c r="N36" i="1" s="1"/>
  <c r="N37" i="1" s="1"/>
  <c r="N38" i="1" s="1"/>
  <c r="N39" i="1" s="1"/>
  <c r="N40" i="1" s="1"/>
  <c r="N41" i="1" s="1"/>
  <c r="N42" i="1" s="1"/>
  <c r="Q78" i="1" l="1"/>
  <c r="AD75" i="1"/>
  <c r="O77" i="1"/>
  <c r="AD76" i="1"/>
  <c r="P28" i="1"/>
  <c r="I67" i="1"/>
  <c r="I68" i="1" s="1"/>
  <c r="I69" i="1" s="1"/>
  <c r="H67" i="1"/>
  <c r="J69" i="1"/>
  <c r="AD37" i="1"/>
  <c r="F53" i="1"/>
  <c r="F54" i="1" s="1"/>
  <c r="F55" i="1" s="1"/>
  <c r="F56" i="1" s="1"/>
  <c r="F57" i="1" s="1"/>
  <c r="F58" i="1" s="1"/>
  <c r="F59" i="1" s="1"/>
  <c r="F60" i="1" s="1"/>
  <c r="F61" i="1" s="1"/>
  <c r="F62" i="1" s="1"/>
  <c r="K49" i="1"/>
  <c r="K50" i="1" s="1"/>
  <c r="G49" i="1"/>
  <c r="N43" i="1"/>
  <c r="L37" i="1"/>
  <c r="M36" i="1"/>
  <c r="Q79" i="1" l="1"/>
  <c r="Q80" i="1" s="1"/>
  <c r="Q81" i="1" s="1"/>
  <c r="AD81" i="1" s="1"/>
  <c r="O78" i="1"/>
  <c r="AD77" i="1"/>
  <c r="P29" i="1"/>
  <c r="J70" i="1"/>
  <c r="I70" i="1"/>
  <c r="H68" i="1"/>
  <c r="H69" i="1" s="1"/>
  <c r="H70" i="1" s="1"/>
  <c r="H71" i="1" s="1"/>
  <c r="H72" i="1" s="1"/>
  <c r="F63" i="1"/>
  <c r="F64" i="1" s="1"/>
  <c r="F65" i="1" s="1"/>
  <c r="F66" i="1" s="1"/>
  <c r="F67" i="1" s="1"/>
  <c r="F68" i="1" s="1"/>
  <c r="F69" i="1" s="1"/>
  <c r="K51" i="1"/>
  <c r="G50" i="1"/>
  <c r="AD38" i="1"/>
  <c r="N44" i="1"/>
  <c r="L38" i="1"/>
  <c r="L39" i="1" s="1"/>
  <c r="M37" i="1"/>
  <c r="AB67" i="1" l="1"/>
  <c r="O79" i="1"/>
  <c r="O80" i="1" s="1"/>
  <c r="O81" i="1" s="1"/>
  <c r="AB81" i="1" s="1"/>
  <c r="AD79" i="1"/>
  <c r="AD80" i="1"/>
  <c r="AD78" i="1"/>
  <c r="AB43" i="1"/>
  <c r="AB73" i="1"/>
  <c r="AB31" i="1"/>
  <c r="AB59" i="1"/>
  <c r="AB42" i="1"/>
  <c r="AB60"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P30" i="1"/>
  <c r="H73" i="1"/>
  <c r="J71" i="1"/>
  <c r="I71" i="1"/>
  <c r="F70" i="1"/>
  <c r="F71" i="1" s="1"/>
  <c r="F72" i="1" s="1"/>
  <c r="F73" i="1" s="1"/>
  <c r="K52" i="1"/>
  <c r="K53" i="1" s="1"/>
  <c r="G51" i="1"/>
  <c r="AD39" i="1"/>
  <c r="AB46" i="1"/>
  <c r="N45" i="1"/>
  <c r="L40" i="1"/>
  <c r="M38" i="1"/>
  <c r="M39" i="1" s="1"/>
  <c r="M40" i="1" s="1"/>
  <c r="AB79" i="1" l="1"/>
  <c r="AB80" i="1"/>
  <c r="H74" i="1"/>
  <c r="F74" i="1"/>
  <c r="F75" i="1" s="1"/>
  <c r="F76" i="1" s="1"/>
  <c r="F77" i="1" s="1"/>
  <c r="F78" i="1" s="1"/>
  <c r="F79" i="1" s="1"/>
  <c r="F80"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F81" i="1" l="1"/>
  <c r="S81" i="1" s="1"/>
  <c r="S77" i="1"/>
  <c r="S78" i="1"/>
  <c r="S2"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S66" i="1" l="1"/>
  <c r="S79" i="1"/>
  <c r="S80" i="1"/>
  <c r="H76" i="1"/>
  <c r="H77" i="1" s="1"/>
  <c r="J74" i="1"/>
  <c r="I74" i="1"/>
  <c r="P33" i="1"/>
  <c r="K68" i="1"/>
  <c r="G54" i="1"/>
  <c r="R2" i="1"/>
  <c r="N51" i="1"/>
  <c r="N52" i="1" s="1"/>
  <c r="N53" i="1" s="1"/>
  <c r="N54" i="1" s="1"/>
  <c r="N55" i="1" s="1"/>
  <c r="AB45" i="1"/>
  <c r="M43" i="1"/>
  <c r="L43" i="1"/>
  <c r="H78" i="1" l="1"/>
  <c r="J75" i="1"/>
  <c r="I75" i="1"/>
  <c r="P34" i="1"/>
  <c r="K69" i="1"/>
  <c r="N56" i="1"/>
  <c r="N57" i="1" s="1"/>
  <c r="N58" i="1" s="1"/>
  <c r="G55" i="1"/>
  <c r="AB49" i="1"/>
  <c r="AD35" i="1"/>
  <c r="L44" i="1"/>
  <c r="M44" i="1"/>
  <c r="M45" i="1" s="1"/>
  <c r="M46" i="1" s="1"/>
  <c r="M47" i="1" s="1"/>
  <c r="H79" i="1" l="1"/>
  <c r="I76" i="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H80" i="1" l="1"/>
  <c r="I77" i="1"/>
  <c r="J77" i="1"/>
  <c r="J78" i="1" s="1"/>
  <c r="J79" i="1" s="1"/>
  <c r="J80" i="1" s="1"/>
  <c r="P36" i="1"/>
  <c r="K72" i="1"/>
  <c r="N60" i="1"/>
  <c r="G57" i="1"/>
  <c r="G58" i="1" s="1"/>
  <c r="G59" i="1" s="1"/>
  <c r="G60" i="1" s="1"/>
  <c r="AD20" i="1"/>
  <c r="AB3" i="1"/>
  <c r="R3" i="1"/>
  <c r="AD14" i="1"/>
  <c r="AD54" i="1"/>
  <c r="AD53" i="1"/>
  <c r="M49" i="1"/>
  <c r="L48" i="1"/>
  <c r="H81" i="1" l="1"/>
  <c r="J81" i="1"/>
  <c r="W81" i="1" s="1"/>
  <c r="U69" i="1"/>
  <c r="U55" i="1"/>
  <c r="U51" i="1"/>
  <c r="W2" i="1"/>
  <c r="I78" i="1"/>
  <c r="W78" i="1"/>
  <c r="W45" i="1"/>
  <c r="W39" i="1"/>
  <c r="W62" i="1"/>
  <c r="W46" i="1"/>
  <c r="W67" i="1"/>
  <c r="W59" i="1"/>
  <c r="W52" i="1"/>
  <c r="W3" i="1"/>
  <c r="W76" i="1"/>
  <c r="W70" i="1"/>
  <c r="W72" i="1"/>
  <c r="W73" i="1"/>
  <c r="W68" i="1"/>
  <c r="W55" i="1"/>
  <c r="W44" i="1"/>
  <c r="W61" i="1"/>
  <c r="W40" i="1"/>
  <c r="W53" i="1"/>
  <c r="W47" i="1"/>
  <c r="W41" i="1"/>
  <c r="W43" i="1"/>
  <c r="W63" i="1"/>
  <c r="W49" i="1"/>
  <c r="W6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W60" i="1" l="1"/>
  <c r="W58" i="1"/>
  <c r="W56" i="1"/>
  <c r="W74" i="1"/>
  <c r="U52" i="1"/>
  <c r="U2" i="1"/>
  <c r="W65" i="1"/>
  <c r="W64" i="1"/>
  <c r="W57" i="1"/>
  <c r="W77" i="1"/>
  <c r="U44" i="1"/>
  <c r="U46" i="1"/>
  <c r="U60" i="1"/>
  <c r="U42" i="1"/>
  <c r="U64" i="1"/>
  <c r="W54" i="1"/>
  <c r="W79" i="1"/>
  <c r="W51" i="1"/>
  <c r="U40" i="1"/>
  <c r="U68" i="1"/>
  <c r="U49" i="1"/>
  <c r="U72" i="1"/>
  <c r="U75" i="1"/>
  <c r="U58" i="1"/>
  <c r="U61" i="1"/>
  <c r="U73" i="1"/>
  <c r="U39" i="1"/>
  <c r="U53" i="1"/>
  <c r="U66" i="1"/>
  <c r="U70" i="1"/>
  <c r="U47" i="1"/>
  <c r="U3" i="1"/>
  <c r="U59" i="1"/>
  <c r="U45" i="1"/>
  <c r="U54" i="1"/>
  <c r="U74" i="1"/>
  <c r="U56" i="1"/>
  <c r="U81" i="1"/>
  <c r="U57" i="1"/>
  <c r="U4" i="1"/>
  <c r="U6" i="1"/>
  <c r="U5" i="1"/>
  <c r="U23" i="1"/>
  <c r="U14" i="1"/>
  <c r="U30" i="1"/>
  <c r="U13" i="1"/>
  <c r="U25" i="1"/>
  <c r="U37" i="1"/>
  <c r="U65" i="1"/>
  <c r="U43" i="1"/>
  <c r="U27" i="1"/>
  <c r="U15" i="1"/>
  <c r="U9" i="1"/>
  <c r="U35" i="1"/>
  <c r="U29" i="1"/>
  <c r="U18" i="1"/>
  <c r="U41" i="1"/>
  <c r="U19" i="1"/>
  <c r="U7" i="1"/>
  <c r="U38" i="1"/>
  <c r="U28" i="1"/>
  <c r="U67" i="1"/>
  <c r="U62" i="1"/>
  <c r="U21" i="1"/>
  <c r="U26" i="1"/>
  <c r="U24" i="1"/>
  <c r="U17" i="1"/>
  <c r="U22" i="1"/>
  <c r="U32" i="1"/>
  <c r="U50" i="1"/>
  <c r="U8" i="1"/>
  <c r="U12" i="1"/>
  <c r="U77" i="1"/>
  <c r="U71" i="1"/>
  <c r="U31" i="1"/>
  <c r="U36" i="1"/>
  <c r="U11" i="1"/>
  <c r="U80" i="1"/>
  <c r="U78" i="1"/>
  <c r="U16" i="1"/>
  <c r="U10" i="1"/>
  <c r="U20" i="1"/>
  <c r="U48" i="1"/>
  <c r="U79" i="1"/>
  <c r="U33" i="1"/>
  <c r="U76" i="1"/>
  <c r="U34" i="1"/>
  <c r="U63" i="1"/>
  <c r="W80" i="1"/>
  <c r="I79" i="1"/>
  <c r="N67" i="1"/>
  <c r="N68" i="1" s="1"/>
  <c r="K74" i="1"/>
  <c r="P38" i="1"/>
  <c r="G62" i="1"/>
  <c r="G63" i="1" s="1"/>
  <c r="M51" i="1"/>
  <c r="M52" i="1" s="1"/>
  <c r="M53" i="1" s="1"/>
  <c r="L50" i="1"/>
  <c r="I80" i="1" l="1"/>
  <c r="I81" i="1" s="1"/>
  <c r="V2" i="1" s="1"/>
  <c r="K75" i="1"/>
  <c r="P39" i="1"/>
  <c r="N69" i="1"/>
  <c r="G64" i="1"/>
  <c r="M54" i="1"/>
  <c r="M55" i="1" s="1"/>
  <c r="L51" i="1"/>
  <c r="L52" i="1" s="1"/>
  <c r="L53" i="1" s="1"/>
  <c r="V48" i="1" l="1"/>
  <c r="V81" i="1"/>
  <c r="V77" i="1"/>
  <c r="V36" i="1"/>
  <c r="V49" i="1"/>
  <c r="V62" i="1"/>
  <c r="V12" i="1"/>
  <c r="V50" i="1"/>
  <c r="V53" i="1"/>
  <c r="V58" i="1"/>
  <c r="V29" i="1"/>
  <c r="V31" i="1"/>
  <c r="V39" i="1"/>
  <c r="V51" i="1"/>
  <c r="V4" i="1"/>
  <c r="V5" i="1"/>
  <c r="V3" i="1"/>
  <c r="V6" i="1"/>
  <c r="V7" i="1"/>
  <c r="V19" i="1"/>
  <c r="V59" i="1"/>
  <c r="V72" i="1"/>
  <c r="V78" i="1"/>
  <c r="V17" i="1"/>
  <c r="V9" i="1"/>
  <c r="V38" i="1"/>
  <c r="V23" i="1"/>
  <c r="V10" i="1"/>
  <c r="V13" i="1"/>
  <c r="V14" i="1"/>
  <c r="V60" i="1"/>
  <c r="V70" i="1"/>
  <c r="V46" i="1"/>
  <c r="V47" i="1"/>
  <c r="V52" i="1"/>
  <c r="V66" i="1"/>
  <c r="V69" i="1"/>
  <c r="V57" i="1"/>
  <c r="V80" i="1"/>
  <c r="V20" i="1"/>
  <c r="V26" i="1"/>
  <c r="V28" i="1"/>
  <c r="V15" i="1"/>
  <c r="V21" i="1"/>
  <c r="V16" i="1"/>
  <c r="V24" i="1"/>
  <c r="V27" i="1"/>
  <c r="V11" i="1"/>
  <c r="V30" i="1"/>
  <c r="V37" i="1"/>
  <c r="V32" i="1"/>
  <c r="V22" i="1"/>
  <c r="V56" i="1"/>
  <c r="V76" i="1"/>
  <c r="V75" i="1"/>
  <c r="V61" i="1"/>
  <c r="V42" i="1"/>
  <c r="V54" i="1"/>
  <c r="V71" i="1"/>
  <c r="V43" i="1"/>
  <c r="V45" i="1"/>
  <c r="V55" i="1"/>
  <c r="V25" i="1"/>
  <c r="V33" i="1"/>
  <c r="V65" i="1"/>
  <c r="V35" i="1"/>
  <c r="V8" i="1"/>
  <c r="V18" i="1"/>
  <c r="V34" i="1"/>
  <c r="V41" i="1"/>
  <c r="V64" i="1"/>
  <c r="V63" i="1"/>
  <c r="V67" i="1"/>
  <c r="V74" i="1"/>
  <c r="V73" i="1"/>
  <c r="V44" i="1"/>
  <c r="V40" i="1"/>
  <c r="V68" i="1"/>
  <c r="V79" i="1"/>
  <c r="K76" i="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K79" i="1" l="1"/>
  <c r="P42" i="1"/>
  <c r="G73" i="1"/>
  <c r="G74" i="1" s="1"/>
  <c r="G75" i="1" s="1"/>
  <c r="T2" i="1"/>
  <c r="X2" i="1"/>
  <c r="N72" i="1"/>
  <c r="N73" i="1" s="1"/>
  <c r="L67" i="1"/>
  <c r="M61" i="1"/>
  <c r="K80" i="1" l="1"/>
  <c r="K81" i="1" s="1"/>
  <c r="X81" i="1" s="1"/>
  <c r="P43" i="1"/>
  <c r="G76" i="1"/>
  <c r="G77" i="1" s="1"/>
  <c r="N74" i="1"/>
  <c r="L68" i="1"/>
  <c r="M62" i="1"/>
  <c r="Y2" i="1"/>
  <c r="X80" i="1" l="1"/>
  <c r="X42" i="1"/>
  <c r="X67" i="1"/>
  <c r="X10" i="1"/>
  <c r="X73" i="1"/>
  <c r="X41" i="1"/>
  <c r="X37" i="1"/>
  <c r="X24" i="1"/>
  <c r="X43" i="1"/>
  <c r="X38" i="1"/>
  <c r="X20" i="1"/>
  <c r="X17" i="1"/>
  <c r="X61" i="1"/>
  <c r="X62" i="1"/>
  <c r="X35" i="1"/>
  <c r="X22" i="1"/>
  <c r="X60" i="1"/>
  <c r="X69" i="1"/>
  <c r="X27" i="1"/>
  <c r="X31" i="1"/>
  <c r="X50" i="1"/>
  <c r="X39" i="1"/>
  <c r="X12" i="1"/>
  <c r="X63" i="1"/>
  <c r="X25" i="1"/>
  <c r="X78" i="1"/>
  <c r="X72" i="1"/>
  <c r="X23" i="1"/>
  <c r="X47" i="1"/>
  <c r="X68" i="1"/>
  <c r="X51" i="1"/>
  <c r="X7" i="1"/>
  <c r="X48" i="1"/>
  <c r="X59" i="1"/>
  <c r="X74" i="1"/>
  <c r="X71" i="1"/>
  <c r="X77" i="1"/>
  <c r="X54" i="1"/>
  <c r="X13" i="1"/>
  <c r="X32" i="1"/>
  <c r="X40" i="1"/>
  <c r="X14" i="1"/>
  <c r="X21" i="1"/>
  <c r="X64" i="1"/>
  <c r="X57" i="1"/>
  <c r="X70" i="1"/>
  <c r="X5" i="1"/>
  <c r="X19" i="1"/>
  <c r="X55" i="1"/>
  <c r="X44" i="1"/>
  <c r="X3" i="1"/>
  <c r="X30" i="1"/>
  <c r="X36" i="1"/>
  <c r="X58" i="1"/>
  <c r="X29" i="1"/>
  <c r="X4" i="1"/>
  <c r="X9" i="1"/>
  <c r="X8" i="1"/>
  <c r="X18" i="1"/>
  <c r="X75" i="1"/>
  <c r="X56" i="1"/>
  <c r="X26" i="1"/>
  <c r="X45" i="1"/>
  <c r="X34" i="1"/>
  <c r="X53" i="1"/>
  <c r="X16" i="1"/>
  <c r="X11" i="1"/>
  <c r="X15" i="1"/>
  <c r="X46" i="1"/>
  <c r="X33" i="1"/>
  <c r="X6" i="1"/>
  <c r="X65" i="1"/>
  <c r="X66" i="1"/>
  <c r="X76" i="1"/>
  <c r="X28" i="1"/>
  <c r="X49" i="1"/>
  <c r="X52" i="1"/>
  <c r="X79" i="1"/>
  <c r="G78" i="1"/>
  <c r="P44" i="1"/>
  <c r="N75" i="1"/>
  <c r="L69" i="1"/>
  <c r="M63" i="1"/>
  <c r="M64" i="1" s="1"/>
  <c r="M65" i="1" s="1"/>
  <c r="M66" i="1" s="1"/>
  <c r="G79" i="1" l="1"/>
  <c r="P45" i="1"/>
  <c r="N76" i="1"/>
  <c r="L70" i="1"/>
  <c r="M67" i="1"/>
  <c r="G80" i="1" l="1"/>
  <c r="G81" i="1" s="1"/>
  <c r="T71" i="1" s="1"/>
  <c r="T70" i="1"/>
  <c r="T55" i="1"/>
  <c r="T10" i="1"/>
  <c r="T28" i="1"/>
  <c r="T14" i="1"/>
  <c r="T38" i="1"/>
  <c r="T12" i="1"/>
  <c r="T60" i="1"/>
  <c r="T26" i="1"/>
  <c r="T41" i="1"/>
  <c r="T11" i="1"/>
  <c r="T27" i="1"/>
  <c r="T22" i="1"/>
  <c r="T21" i="1"/>
  <c r="T72" i="1"/>
  <c r="T23" i="1"/>
  <c r="T19" i="1"/>
  <c r="T29" i="1"/>
  <c r="T13" i="1"/>
  <c r="T37" i="1"/>
  <c r="T69" i="1"/>
  <c r="T18" i="1"/>
  <c r="T62" i="1"/>
  <c r="T59" i="1"/>
  <c r="T25" i="1"/>
  <c r="T45" i="1"/>
  <c r="T42" i="1"/>
  <c r="T54" i="1"/>
  <c r="T52" i="1"/>
  <c r="T53" i="1"/>
  <c r="P46" i="1"/>
  <c r="N77" i="1"/>
  <c r="L71" i="1"/>
  <c r="L72" i="1" s="1"/>
  <c r="L73" i="1" s="1"/>
  <c r="M68" i="1"/>
  <c r="T56" i="1" l="1"/>
  <c r="T8" i="1"/>
  <c r="T40" i="1"/>
  <c r="T9" i="1"/>
  <c r="T6" i="1"/>
  <c r="T39" i="1"/>
  <c r="T44" i="1"/>
  <c r="T58" i="1"/>
  <c r="T4" i="1"/>
  <c r="T17" i="1"/>
  <c r="T15" i="1"/>
  <c r="T33" i="1"/>
  <c r="T51" i="1"/>
  <c r="T20" i="1"/>
  <c r="T5" i="1"/>
  <c r="T46" i="1"/>
  <c r="T66" i="1"/>
  <c r="T77" i="1"/>
  <c r="T36" i="1"/>
  <c r="T74" i="1"/>
  <c r="T64" i="1"/>
  <c r="T73" i="1"/>
  <c r="T75" i="1"/>
  <c r="T48" i="1"/>
  <c r="T34" i="1"/>
  <c r="T24" i="1"/>
  <c r="T68" i="1"/>
  <c r="T47" i="1"/>
  <c r="T50" i="1"/>
  <c r="T65" i="1"/>
  <c r="T57" i="1"/>
  <c r="T76" i="1"/>
  <c r="T43" i="1"/>
  <c r="T78" i="1"/>
  <c r="T49" i="1"/>
  <c r="T79" i="1"/>
  <c r="T31" i="1"/>
  <c r="T67" i="1"/>
  <c r="T3" i="1"/>
  <c r="T35" i="1"/>
  <c r="T81" i="1"/>
  <c r="T16" i="1"/>
  <c r="T7" i="1"/>
  <c r="T61" i="1"/>
  <c r="T32" i="1"/>
  <c r="T63" i="1"/>
  <c r="T80" i="1"/>
  <c r="T30" i="1"/>
  <c r="P47" i="1"/>
  <c r="N78" i="1"/>
  <c r="L74" i="1"/>
  <c r="L75" i="1" s="1"/>
  <c r="M69" i="1"/>
  <c r="AA59" i="1" l="1"/>
  <c r="N79" i="1"/>
  <c r="N80" i="1" s="1"/>
  <c r="N81" i="1" s="1"/>
  <c r="AA81" i="1" s="1"/>
  <c r="P48" i="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AA79" i="1" l="1"/>
  <c r="AA80" i="1"/>
  <c r="P49" i="1"/>
  <c r="L77" i="1"/>
  <c r="M71" i="1"/>
  <c r="P50" i="1" l="1"/>
  <c r="L78" i="1"/>
  <c r="M72" i="1"/>
  <c r="L79" i="1" l="1"/>
  <c r="P51" i="1"/>
  <c r="M73" i="1"/>
  <c r="L80" i="1" l="1"/>
  <c r="L81" i="1" s="1"/>
  <c r="Y81" i="1" s="1"/>
  <c r="P52" i="1"/>
  <c r="M74" i="1"/>
  <c r="M75" i="1" s="1"/>
  <c r="Y67" i="1" l="1"/>
  <c r="Y70" i="1"/>
  <c r="Y7" i="1"/>
  <c r="Y73" i="1"/>
  <c r="Y34" i="1"/>
  <c r="Y27" i="1"/>
  <c r="Y65" i="1"/>
  <c r="Y35" i="1"/>
  <c r="Y71" i="1"/>
  <c r="Y68" i="1"/>
  <c r="Y23" i="1"/>
  <c r="Y58" i="1"/>
  <c r="Y33" i="1"/>
  <c r="Y72" i="1"/>
  <c r="Y69" i="1"/>
  <c r="Y18" i="1"/>
  <c r="Y28" i="1"/>
  <c r="Y30" i="1"/>
  <c r="Y45" i="1"/>
  <c r="Y8" i="1"/>
  <c r="Y9" i="1"/>
  <c r="Y49" i="1"/>
  <c r="Y20" i="1"/>
  <c r="Y50" i="1"/>
  <c r="Y6" i="1"/>
  <c r="Y54" i="1"/>
  <c r="Y51" i="1"/>
  <c r="Y78" i="1"/>
  <c r="Y29" i="1"/>
  <c r="Y53" i="1"/>
  <c r="Y60" i="1"/>
  <c r="Y15" i="1"/>
  <c r="Y52" i="1"/>
  <c r="Y57" i="1"/>
  <c r="Y76" i="1"/>
  <c r="Y24" i="1"/>
  <c r="Y21" i="1"/>
  <c r="Y13" i="1"/>
  <c r="Y22" i="1"/>
  <c r="Y31" i="1"/>
  <c r="Y11" i="1"/>
  <c r="Y41" i="1"/>
  <c r="Y10" i="1"/>
  <c r="Y17" i="1"/>
  <c r="Y40" i="1"/>
  <c r="Y16" i="1"/>
  <c r="Y55" i="1"/>
  <c r="Y75" i="1"/>
  <c r="Y19" i="1"/>
  <c r="Y66" i="1"/>
  <c r="Y62" i="1"/>
  <c r="Y79" i="1"/>
  <c r="Y44" i="1"/>
  <c r="Y4" i="1"/>
  <c r="Y36" i="1"/>
  <c r="Y47" i="1"/>
  <c r="Y14" i="1"/>
  <c r="Y37" i="1"/>
  <c r="Y56" i="1"/>
  <c r="Y32" i="1"/>
  <c r="Y61" i="1"/>
  <c r="Y42" i="1"/>
  <c r="Y26" i="1"/>
  <c r="Y5" i="1"/>
  <c r="Y74" i="1"/>
  <c r="Y25" i="1"/>
  <c r="Y48" i="1"/>
  <c r="Y46" i="1"/>
  <c r="Y12" i="1"/>
  <c r="Y38" i="1"/>
  <c r="Y64" i="1"/>
  <c r="Y39" i="1"/>
  <c r="Y3" i="1"/>
  <c r="Y77" i="1"/>
  <c r="Y59" i="1"/>
  <c r="Y63" i="1"/>
  <c r="Y43" i="1"/>
  <c r="Y80" i="1"/>
  <c r="P53" i="1"/>
  <c r="M76" i="1"/>
  <c r="P54" i="1" l="1"/>
  <c r="M77" i="1"/>
  <c r="M78" i="1" s="1"/>
  <c r="M79" i="1" s="1"/>
  <c r="M80" i="1" s="1"/>
  <c r="M81" i="1" l="1"/>
  <c r="Z81" i="1" s="1"/>
  <c r="Z78" i="1"/>
  <c r="Z79" i="1"/>
  <c r="P55" i="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Z80" i="1" l="1"/>
  <c r="AC36" i="1"/>
  <c r="P69" i="1"/>
  <c r="P70" i="1" s="1"/>
  <c r="P71" i="1" s="1"/>
  <c r="P72" i="1" s="1"/>
  <c r="P73" i="1" s="1"/>
  <c r="P74" i="1" s="1"/>
  <c r="P75" i="1" s="1"/>
  <c r="P76" i="1" s="1"/>
  <c r="P77" i="1" s="1"/>
  <c r="P78" i="1" s="1"/>
  <c r="P79" i="1" s="1"/>
  <c r="P80" i="1" s="1"/>
  <c r="P81" i="1" s="1"/>
  <c r="AC81" i="1" s="1"/>
  <c r="AC31" i="1"/>
  <c r="AC32" i="1"/>
  <c r="AC4" i="1"/>
  <c r="AC8" i="1"/>
  <c r="AC3" i="1"/>
  <c r="AC18" i="1"/>
  <c r="AC17" i="1"/>
  <c r="AC27" i="1"/>
  <c r="AC45" i="1"/>
  <c r="AC54" i="1"/>
  <c r="AC63" i="1"/>
  <c r="AC48" i="1"/>
  <c r="AC68" i="1"/>
  <c r="AC53" i="1"/>
  <c r="AC57" i="1"/>
  <c r="AC64" i="1"/>
  <c r="AC49" i="1"/>
  <c r="AC72" i="1"/>
  <c r="AC52" i="1"/>
  <c r="AC59" i="1"/>
  <c r="AC46" i="1"/>
  <c r="AC44" i="1"/>
  <c r="AC6" i="1"/>
  <c r="AC37" i="1"/>
  <c r="AC66" i="1"/>
  <c r="AC71" i="1"/>
  <c r="AC9" i="1"/>
  <c r="AC73" i="1"/>
  <c r="AC50" i="1"/>
  <c r="AC2" i="1"/>
  <c r="AC34" i="1"/>
  <c r="AC55" i="1"/>
  <c r="AC20" i="1"/>
  <c r="AC29" i="1"/>
  <c r="AC24" i="1"/>
  <c r="AC39" i="1"/>
  <c r="AC28" i="1"/>
  <c r="AC56" i="1"/>
  <c r="AC15" i="1"/>
  <c r="AC25" i="1"/>
  <c r="AC61" i="1"/>
  <c r="AC58" i="1"/>
  <c r="AC5" i="1"/>
  <c r="AC69" i="1"/>
  <c r="AC42" i="1"/>
  <c r="AC35" i="1"/>
  <c r="AC7" i="1"/>
  <c r="AC13" i="1"/>
  <c r="AC16" i="1"/>
  <c r="AC51" i="1"/>
  <c r="AC10" i="1"/>
  <c r="AC38" i="1"/>
  <c r="AC40" i="1"/>
  <c r="AC65" i="1"/>
  <c r="AC30" i="1"/>
  <c r="AC77" i="1"/>
  <c r="AC41" i="1"/>
  <c r="AC12" i="1"/>
  <c r="AC70" i="1"/>
  <c r="AC11" i="1"/>
  <c r="AC14" i="1"/>
  <c r="AC26" i="1"/>
  <c r="AC47" i="1"/>
  <c r="AC60" i="1"/>
  <c r="AC19" i="1"/>
  <c r="AC43" i="1"/>
  <c r="AC67" i="1"/>
  <c r="AC21" i="1"/>
  <c r="AC22" i="1"/>
  <c r="AC33" i="1"/>
  <c r="AC62" i="1"/>
  <c r="AC23" i="1"/>
  <c r="AC75" i="1"/>
  <c r="AC79" i="1" l="1"/>
  <c r="AC80" i="1"/>
  <c r="AC76" i="1"/>
  <c r="AC78" i="1"/>
  <c r="AC74"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<sst xmlns="http://schemas.openxmlformats.org/spreadsheetml/2006/main" count="903" uniqueCount="545">
  <si>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</si>
  <si>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</si>
  <si>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</si>
  <si>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</si>
  <si>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</si>
  <si>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</si>
  <si>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</si>
  <si>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</si>
  <si>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</si>
  <si>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</si>
  <si>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</si>
  <si>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</si>
  <si>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</si>
  <si>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</si>
  <si>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</si>
  <si>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</si>
  <si>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</si>
  <si>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</si>
  <si>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</si>
  <si>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</si>
  <si>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</si>
  <si>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</si>
  <si>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</si>
  <si>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</si>
  <si>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</si>
  <si>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</si>
  <si>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</si>
  <si>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</si>
  <si>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</si>
  <si>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</si>
  <si>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</si>
  <si>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</si>
  <si>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</si>
  <si>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</si>
  <si>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</si>
  <si>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</si>
  <si>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</si>
  <si>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</si>
  <si>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</si>
  <si>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</si>
  <si>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</si>
  <si>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</si>
  <si>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</si>
  <si>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</si>
  <si>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</si>
  <si>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</si>
  <si>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</si>
  <si>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</si>
  <si>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</si>
  <si>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</si>
  <si>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</si>
  <si>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</si>
  <si>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</si>
  <si>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</si>
  <si>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</si>
  <si>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</si>
  <si>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</si>
  <si>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</si>
  <si>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</si>
  <si>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</si>
  <si>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</si>
  <si>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</si>
  <si>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</si>
  <si>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</si>
  <si>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</si>
  <si>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</si>
  <si>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</si>
  <si>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</si>
  <si>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</si>
  <si>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</si>
  <si>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</si>
  <si>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</si>
  <si>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</si>
  <si>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</si>
  <si>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</si>
  <si>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</si>
  <si>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</si>
  <si>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</si>
  <si>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</si>
  <si>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</si>
  <si>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</si>
  <si>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</si>
  <si>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</si>
  <si>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</si>
  <si>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</si>
  <si>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</si>
  <si>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</si>
  <si>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</si>
  <si>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</si>
  <si>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</si>
  <si>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</si>
  <si>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</si>
  <si>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</si>
  <si>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</si>
  <si>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</si>
  <si>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</si>
  <si>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</si>
  <si>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</si>
  <si>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</si>
  <si>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</si>
  <si>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</si>
  <si>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</si>
  <si>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</si>
  <si>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</si>
  <si>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</si>
  <si>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</si>
  <si>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</si>
  <si>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</si>
  <si>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</si>
  <si>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</si>
  <si>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</si>
  <si>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</si>
  <si>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</si>
  <si>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</si>
  <si>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</si>
  <si>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</si>
  <si>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</si>
  <si>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</si>
  <si>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</si>
  <si>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</si>
  <si>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</si>
  <si>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</si>
  <si>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</si>
  <si>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</si>
  <si>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</si>
  <si>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</si>
  <si>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</si>
  <si>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</si>
  <si>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</si>
  <si>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</si>
  <si>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</si>
  <si>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</si>
  <si>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</si>
  <si>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</si>
  <si>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</si>
  <si>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</si>
  <si>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</si>
  <si>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</si>
  <si>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</si>
  <si>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</si>
  <si>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</si>
  <si>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</si>
  <si>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</si>
  <si>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</si>
  <si>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</si>
  <si>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</si>
  <si>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</si>
  <si>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</si>
  <si>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</si>
  <si>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</si>
  <si>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</si>
  <si>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</si>
  <si>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</si>
  <si>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</si>
  <si>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</si>
  <si>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</si>
  <si>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</si>
  <si>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</si>
  <si>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</si>
  <si>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</si>
  <si>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</si>
  <si>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</si>
  <si>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</si>
  <si>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</si>
  <si>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</si>
  <si>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</si>
  <si>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</si>
  <si>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</si>
  <si>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</si>
  <si>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</si>
  <si>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</si>
  <si>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</si>
  <si>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</si>
  <si>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</si>
  <si>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</si>
  <si>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</si>
  <si>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</si>
  <si>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</si>
  <si>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</si>
  <si>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</si>
  <si>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</si>
  <si>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</si>
  <si>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</si>
  <si>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</si>
  <si>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</si>
  <si>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</si>
  <si>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</si>
  <si>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</si>
  <si>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</si>
  <si>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</si>
  <si>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</si>
  <si>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</si>
  <si>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</si>
  <si>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</si>
  <si>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</si>
  <si>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</si>
  <si>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</si>
  <si>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</si>
  <si>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</si>
  <si>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</si>
  <si>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</si>
  <si>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</si>
  <si>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</si>
  <si>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</si>
  <si>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</si>
  <si>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</si>
  <si>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</si>
  <si>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</si>
  <si>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</si>
  <si>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</si>
  <si>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</si>
  <si>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</si>
  <si>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</si>
  <si>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</si>
  <si>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</si>
  <si>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</si>
  <si>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</si>
  <si>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</si>
  <si>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</si>
  <si>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</si>
  <si>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</si>
  <si>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</si>
  <si>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</si>
  <si>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</si>
  <si>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</si>
  <si>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</si>
  <si>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</si>
  <si>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</si>
  <si>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</si>
  <si>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</si>
  <si>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</si>
  <si>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</si>
  <si>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</si>
  <si>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</si>
  <si>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</si>
  <si>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</si>
  <si>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</si>
  <si>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</si>
  <si>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</si>
  <si>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</si>
  <si>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</si>
  <si>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</si>
  <si>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</si>
  <si>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</si>
  <si>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</si>
  <si>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</si>
  <si>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</si>
  <si>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</si>
  <si>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</si>
  <si>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</si>
  <si>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</si>
  <si>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</si>
  <si>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</si>
  <si>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</si>
  <si>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</si>
  <si>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</si>
  <si>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</si>
  <si>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</si>
  <si>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</si>
  <si>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</si>
  <si>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</si>
  <si>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</si>
  <si>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</si>
  <si>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</si>
  <si>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</si>
  <si>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</si>
  <si>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</si>
  <si>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</si>
  <si>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</si>
  <si>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</si>
  <si>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</si>
  <si>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</si>
  <si>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</si>
  <si>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</si>
  <si>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</si>
  <si>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</si>
  <si>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</si>
  <si>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</si>
  <si>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</si>
  <si>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</si>
  <si>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</si>
  <si>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</si>
  <si>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</si>
  <si>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</si>
  <si>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</si>
  <si>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</si>
  <si>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</si>
  <si>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</si>
  <si>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</si>
  <si>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</si>
  <si>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</si>
  <si>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</si>
  <si>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</si>
  <si>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</si>
  <si>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</si>
  <si>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</si>
  <si>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</si>
  <si>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</si>
  <si>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</si>
  <si>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</si>
  <si>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</si>
  <si>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</si>
  <si>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</si>
  <si>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</si>
  <si>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</si>
  <si>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</si>
  <si>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</si>
  <si>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</si>
  <si>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</si>
  <si>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</si>
  <si>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</si>
  <si>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</si>
  <si>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</si>
  <si>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</si>
  <si>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</si>
  <si>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</si>
  <si>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</si>
  <si>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</si>
  <si>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</si>
  <si>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</si>
  <si>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</si>
  <si>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</si>
  <si>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</si>
  <si>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</si>
  <si>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</si>
  <si>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</si>
  <si>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</si>
  <si>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</si>
  <si>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</si>
  <si>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</si>
  <si>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</si>
  <si>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</si>
  <si>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</si>
  <si>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</si>
  <si>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</si>
  <si>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</si>
  <si>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</si>
  <si>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</si>
  <si>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</si>
  <si>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</si>
  <si>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</si>
  <si>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</si>
  <si>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</si>
  <si>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</si>
  <si>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</si>
  <si>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</si>
  <si>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</si>
  <si>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</si>
  <si>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</si>
  <si>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</si>
  <si>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</si>
  <si>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</si>
  <si>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</si>
  <si>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</si>
  <si>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</si>
  <si>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</si>
  <si>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</si>
  <si>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</si>
  <si>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</si>
  <si>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</si>
  <si>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</si>
  <si>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</si>
  <si>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</si>
  <si>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</si>
  <si>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</si>
  <si>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</si>
  <si>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</si>
  <si>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</si>
  <si>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</si>
  <si>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</si>
  <si>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</si>
  <si>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</si>
  <si>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</si>
  <si>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</si>
  <si>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</si>
  <si>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</si>
  <si>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</si>
  <si>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</si>
  <si>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</si>
  <si>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</si>
  <si>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</si>
  <si>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</si>
  <si>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</si>
  <si>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</si>
  <si>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</si>
  <si>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</si>
  <si>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</si>
  <si>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</si>
  <si>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</si>
  <si>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</si>
  <si>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</si>
  <si>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</si>
  <si>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</si>
  <si>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</si>
  <si>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</si>
  <si>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</si>
  <si>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</si>
  <si>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</si>
  <si>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</si>
  <si>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</si>
  <si>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</si>
  <si>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</si>
  <si>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</si>
  <si>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</si>
  <si>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</si>
  <si>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</si>
  <si>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</si>
  <si>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</si>
  <si>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</si>
  <si>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</si>
  <si>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</si>
  <si>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</si>
  <si>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</si>
  <si>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</si>
  <si>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</si>
  <si>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</si>
  <si>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</si>
  <si>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</si>
  <si>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</si>
  <si>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</si>
  <si>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</si>
  <si>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</si>
  <si>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</si>
  <si>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</si>
  <si>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</si>
  <si>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</si>
  <si>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</si>
  <si>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</si>
  <si>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</si>
  <si>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</si>
  <si>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</si>
  <si>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</si>
  <si>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</si>
  <si>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</si>
  <si>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</si>
  <si>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</si>
  <si>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</si>
  <si>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</si>
  <si>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</si>
  <si>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</si>
  <si>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</si>
  <si>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</si>
  <si>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</si>
  <si>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</si>
  <si>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</si>
  <si>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</si>
  <si>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</si>
  <si>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</si>
  <si>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</si>
  <si>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</si>
  <si>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</si>
  <si>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</si>
  <si>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</si>
  <si>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</si>
  <si>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</si>
  <si>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</si>
  <si>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</si>
  <si>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</si>
  <si>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</si>
  <si>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</si>
  <si>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</si>
  <si>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</si>
  <si>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</si>
  <si>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</si>
  <si>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</si>
  <si>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</si>
  <si>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</si>
  <si>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</si>
  <si>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</si>
  <si>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</si>
  <si>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</si>
  <si>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</si>
  <si>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</si>
  <si>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</si>
  <si>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</si>
  <si>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</si>
  <si>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</si>
  <si>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</si>
  <si>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</si>
  <si>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</si>
  <si>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</si>
  <si>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</si>
  <si>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</si>
  <si>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</si>
  <si>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</si>
  <si>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</si>
  <si>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</si>
  <si>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</si>
  <si>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</si>
  <si>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</si>
  <si>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</si>
  <si>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</si>
  <si>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</si>
  <si>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</si>
  <si>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</si>
  <si>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</si>
  <si>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</si>
  <si>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</si>
  <si>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</si>
  <si>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</si>
  <si>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</si>
  <si>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</si>
  <si>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</si>
  <si>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</si>
  <si>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</si>
  <si>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</si>
  <si>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</si>
  <si>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</si>
  <si>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</si>
  <si>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</si>
  <si>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</si>
  <si>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</si>
  <si>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</si>
  <si>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</si>
  <si>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</si>
  <si>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</si>
  <si>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</si>
  <si>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Abbot Whisper MS</t>
  </si>
  <si>
    <t>Abbot Whisper LS</t>
  </si>
  <si>
    <t>Pilot 150, 190 cm</t>
  </si>
  <si>
    <t>Pilot 150, 300 cm</t>
  </si>
  <si>
    <t>Медведева А.Ю.</t>
  </si>
  <si>
    <t>Вольхин М.В.</t>
  </si>
  <si>
    <t>Извлечён</t>
  </si>
  <si>
    <t>лучевой</t>
  </si>
  <si>
    <t>DES, Metafor</t>
  </si>
  <si>
    <t>50 ml</t>
  </si>
  <si>
    <t>Shunmei 0,6</t>
  </si>
  <si>
    <t>Shunmei 0,7</t>
  </si>
  <si>
    <t>Artimes</t>
  </si>
  <si>
    <t>Apollo</t>
  </si>
  <si>
    <t>20 ml</t>
  </si>
  <si>
    <t>Правый</t>
  </si>
  <si>
    <t>Совместно с д/кардиологом: с учетом клинических данных, ЭКГ и КАГ рекомендована реваскуляризация бассейна ПКА</t>
  </si>
  <si>
    <t>150 ml</t>
  </si>
  <si>
    <t xml:space="preserve">1) Контроль места пункции, повязка на 6 ч. </t>
  </si>
  <si>
    <t>TIMI III</t>
  </si>
  <si>
    <t>08:18</t>
  </si>
  <si>
    <t>Абдрафиков Н.Х.</t>
  </si>
  <si>
    <t>неровности контуров проксимального сегмента, стеноз дистального сегмента до 50%.  Антеградный кровоток TIMI III</t>
  </si>
  <si>
    <r>
      <t>определяется миокардиаьный мостик среднего сегмента с компрессией в систолу до 30%, стеноз дистального сегмента 30%. Антеградный кровоток TIMI III.</t>
    </r>
    <r>
      <rPr>
        <b/>
        <sz val="11"/>
        <color theme="1"/>
        <rFont val="Arial Narrow"/>
        <family val="2"/>
        <charset val="204"/>
      </rPr>
      <t xml:space="preserve"> ИМА</t>
    </r>
    <r>
      <rPr>
        <sz val="11"/>
        <color theme="1"/>
        <rFont val="Arial Narrow"/>
        <family val="2"/>
        <charset val="204"/>
      </rPr>
      <t>: неровности контуров проксимального сегмента. Антеградный кровоток TIMI III</t>
    </r>
  </si>
  <si>
    <t xml:space="preserve">проходим, контуры ровные </t>
  </si>
  <si>
    <t xml:space="preserve">Устье ПКА катетеризировано проводниковым катетером Launcher JR 4,0 6Fr. Коронарный проводник pilot 150 удалось провести через зону оккюзии в дистальный сегмент. Реканализация артерии выполнена БК Artimes 1.5-20. В зону проксимального сегмента с частичным покрытием среднего сегмента имплантирован DES Resolute Integrity 3,0 х 26 мм, давлением до 14 атм. Выполнена постдилатация стента БК NC Apollo 3,25 х 15 мм, давлением до 16 атм. На контрольных съёмках стент раскрыт удовлетворительно, признаков краевых диссекций, тромбоза, экстравазации контрастного вещества не выявлено, антеградный  кровоток по ПКА полностью востановлен TIMI III. Ангиографический результат оптимальный. Пациент в стабильном состоянии транспортируется в ПРИТ для дальнейшего наблюдения и лечения. </t>
  </si>
  <si>
    <t xml:space="preserve">септальный стеноз проксимального сегмента 30%, окклюзия на уровне границы проксимального и среднего сегментов, неровности контуров дистального сегмента, неровности  контуров прокс/3 ЗБВ и ЗМЖВ. Антеградный кровоток TIMI 0. Выраженный межсистемный коллатеральный кровоток из ПНА с ретроградным контрастированием ЗБВ, ЗМЖВ и дистального сегмента ПКА. Rentrop 3. </t>
  </si>
  <si>
    <t>3,25 - 15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</si>
</sst>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sz val="10"/>
      <color theme="1"/>
      <name val="Arial Narrow"/>
      <family val="2"/>
      <charset val="204"/>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10" fillId="3" borderId="0" applyNumberFormat="0" applyBorder="0" applyAlignment="0" applyProtection="0"/>
    <xf numFmtId="164" fontId="10" fillId="3" borderId="0" applyNumberFormat="0" applyFill="0" applyAlignment="0"/>
    <xf numFmtId="0" fontId="14" fillId="0" borderId="0"/>
    <xf numFmtId="0" fontId="9" fillId="6" borderId="0" applyNumberFormat="0" applyBorder="0" applyAlignment="0" applyProtection="0"/>
    <xf numFmtId="0" fontId="9" fillId="7" borderId="0" applyNumberFormat="0" applyBorder="0" applyAlignment="0" applyProtection="0"/>
    <xf numFmtId="0" fontId="8" fillId="8" borderId="0" applyNumberFormat="0" applyBorder="0" applyAlignment="0" applyProtection="0"/>
    <xf numFmtId="0" fontId="48" fillId="9" borderId="21" applyNumberFormat="0" applyAlignment="0" applyProtection="0"/>
  </cellStyleXfs>
  <cellXfs count="25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9" fillId="7" borderId="5" xfId="5" applyBorder="1" applyAlignment="1">
      <alignment horizontal="centerContinuous" vertical="center"/>
    </xf>
    <xf numFmtId="0" fontId="9"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Alignment="1" applyProtection="1">
      <alignment vertical="center"/>
      <protection locked="0"/>
    </xf>
    <xf numFmtId="0" fontId="16"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5" fillId="0" borderId="12" xfId="0" applyFont="1" applyBorder="1"/>
    <xf numFmtId="0" fontId="0" fillId="0" borderId="0" xfId="0" applyProtection="1">
      <protection locked="0"/>
    </xf>
    <xf numFmtId="165" fontId="16" fillId="0" borderId="7" xfId="0" applyNumberFormat="1" applyFont="1" applyBorder="1" applyAlignment="1">
      <alignment horizontal="left" vertical="center"/>
    </xf>
    <xf numFmtId="0" fontId="16" fillId="0" borderId="7" xfId="0" applyFont="1" applyBorder="1" applyAlignment="1">
      <alignment horizontal="left" vertical="center"/>
    </xf>
    <xf numFmtId="0" fontId="28" fillId="0" borderId="0" xfId="0" applyFont="1" applyAlignment="1">
      <alignment horizontal="centerContinuous" vertical="top" wrapText="1"/>
    </xf>
    <xf numFmtId="0" fontId="16" fillId="0" borderId="0" xfId="0" applyFont="1" applyAlignment="1" applyProtection="1">
      <alignment vertical="top" wrapText="1"/>
      <protection locked="0"/>
    </xf>
    <xf numFmtId="0" fontId="16" fillId="0" borderId="0" xfId="0" applyFont="1" applyAlignment="1" applyProtection="1">
      <alignment horizontal="centerContinuous" vertical="top" wrapText="1"/>
      <protection locked="0"/>
    </xf>
    <xf numFmtId="0" fontId="33" fillId="0" borderId="0" xfId="0" applyFont="1" applyAlignment="1">
      <alignment vertical="top"/>
    </xf>
    <xf numFmtId="0" fontId="33" fillId="0" borderId="13" xfId="0" applyFont="1" applyBorder="1" applyAlignment="1">
      <alignment vertical="top"/>
    </xf>
    <xf numFmtId="0" fontId="23" fillId="0" borderId="0" xfId="0" applyFont="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Alignment="1" applyProtection="1">
      <alignment horizontal="left"/>
      <protection locked="0"/>
    </xf>
    <xf numFmtId="0" fontId="45" fillId="0" borderId="0" xfId="0" applyFont="1" applyAlignment="1">
      <alignment horizontal="left" vertical="center"/>
    </xf>
    <xf numFmtId="0" fontId="16" fillId="0" borderId="3" xfId="0" applyFont="1" applyBorder="1" applyAlignment="1">
      <alignment vertical="center"/>
    </xf>
    <xf numFmtId="0" fontId="16" fillId="0" borderId="4" xfId="0" applyFont="1" applyBorder="1" applyAlignment="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Alignment="1">
      <alignment horizontal="left" vertical="center"/>
    </xf>
    <xf numFmtId="0" fontId="36" fillId="0" borderId="13" xfId="0" applyFont="1" applyBorder="1" applyAlignment="1" applyProtection="1">
      <alignment horizontal="left"/>
      <protection locked="0"/>
    </xf>
    <xf numFmtId="0" fontId="36" fillId="0" borderId="0" xfId="0" applyFont="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16" fillId="0" borderId="9" xfId="0" applyFont="1" applyBorder="1" applyAlignment="1">
      <alignment vertical="center"/>
    </xf>
    <xf numFmtId="0" fontId="16" fillId="0" borderId="7" xfId="0" applyFont="1" applyBorder="1" applyAlignment="1">
      <alignment vertical="center"/>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Alignment="1">
      <alignment horizontal="centerContinuous"/>
    </xf>
    <xf numFmtId="0" fontId="50" fillId="9" borderId="21" xfId="7" applyFont="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17" fillId="0" borderId="0" xfId="0" applyFont="1" applyAlignment="1">
      <alignment horizontal="center"/>
    </xf>
    <xf numFmtId="0" fontId="50" fillId="9" borderId="21" xfId="7" applyFont="1" applyAlignment="1" applyProtection="1">
      <alignment horizontal="left" vertical="center"/>
    </xf>
    <xf numFmtId="0" fontId="24" fillId="0" borderId="12" xfId="0" applyFont="1" applyBorder="1" applyAlignment="1">
      <alignment horizontal="justify" vertical="center" wrapText="1"/>
    </xf>
    <xf numFmtId="0" fontId="25" fillId="0" borderId="13" xfId="0" applyFont="1" applyBorder="1" applyAlignment="1" applyProtection="1">
      <alignment horizontal="center" vertical="center"/>
      <protection locked="0"/>
    </xf>
    <xf numFmtId="0" fontId="25" fillId="0" borderId="0" xfId="0" applyFont="1" applyAlignment="1" applyProtection="1">
      <alignment horizontal="justify" vertical="center" wrapText="1"/>
      <protection locked="0"/>
    </xf>
    <xf numFmtId="0" fontId="25" fillId="0" borderId="0" xfId="0" applyFont="1" applyAlignment="1" applyProtection="1">
      <alignment vertical="center"/>
      <protection locked="0"/>
    </xf>
    <xf numFmtId="0" fontId="23" fillId="0" borderId="0" xfId="0" applyFont="1" applyAlignment="1" applyProtection="1">
      <alignment horizontal="left" vertical="top" wrapText="1"/>
      <protection locked="0"/>
    </xf>
    <xf numFmtId="0" fontId="23" fillId="0" borderId="0" xfId="0" applyFont="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3" fillId="0" borderId="0" xfId="0" applyFont="1" applyAlignment="1">
      <alignment horizontal="left" vertical="center" wrapText="1"/>
    </xf>
    <xf numFmtId="20" fontId="17" fillId="0" borderId="0" xfId="0" applyNumberFormat="1" applyFont="1" applyAlignment="1" applyProtection="1">
      <alignment vertical="center"/>
      <protection locked="0"/>
    </xf>
    <xf numFmtId="0" fontId="0" fillId="0" borderId="0" xfId="0" applyAlignment="1">
      <alignment vertical="top" wrapText="1"/>
    </xf>
    <xf numFmtId="0" fontId="42" fillId="0" borderId="0" xfId="0" applyFont="1" applyAlignment="1" applyProtection="1">
      <alignment vertical="top" wrapText="1"/>
      <protection locked="0"/>
    </xf>
    <xf numFmtId="0" fontId="54" fillId="0" borderId="0" xfId="0" applyFont="1" applyAlignment="1">
      <alignment vertical="top"/>
    </xf>
    <xf numFmtId="0" fontId="55"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9" fillId="0" borderId="0" xfId="0" applyFont="1" applyAlignment="1">
      <alignment horizontal="centerContinuous" vertical="center"/>
    </xf>
    <xf numFmtId="0" fontId="51" fillId="0" borderId="0" xfId="0" applyFont="1" applyAlignment="1" applyProtection="1">
      <alignment vertical="top" wrapText="1"/>
      <protection locked="0"/>
    </xf>
    <xf numFmtId="0" fontId="55"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7"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57" fillId="0" borderId="33" xfId="0" applyFont="1" applyBorder="1" applyAlignment="1" applyProtection="1">
      <alignment horizontal="center" vertical="center"/>
      <protection locked="0"/>
    </xf>
    <xf numFmtId="0" fontId="24" fillId="0" borderId="32" xfId="0" applyFont="1" applyBorder="1" applyAlignment="1">
      <alignment horizontal="justify" vertical="center" wrapText="1"/>
    </xf>
    <xf numFmtId="0" fontId="24" fillId="0" borderId="34" xfId="0" applyFont="1" applyBorder="1" applyAlignment="1">
      <alignment horizontal="justify" vertical="center" wrapText="1"/>
    </xf>
    <xf numFmtId="0" fontId="57" fillId="0" borderId="35" xfId="0" applyFont="1" applyBorder="1" applyAlignment="1" applyProtection="1">
      <alignment horizontal="center" vertical="center"/>
      <protection locked="0"/>
    </xf>
    <xf numFmtId="0" fontId="57" fillId="0" borderId="36" xfId="0" applyFont="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lignment horizont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16" fontId="57" fillId="0" borderId="25" xfId="0" applyNumberFormat="1" applyFont="1" applyBorder="1" applyAlignment="1" applyProtection="1">
      <alignment horizontal="justify" vertical="center" wrapText="1"/>
      <protection locked="0"/>
    </xf>
    <xf numFmtId="0" fontId="57" fillId="0" borderId="35" xfId="0" applyFont="1" applyBorder="1" applyAlignment="1" applyProtection="1">
      <alignment horizontal="justify" vertical="center" wrapText="1"/>
      <protection locked="0"/>
    </xf>
    <xf numFmtId="0" fontId="6" fillId="0" borderId="0" xfId="0" applyFont="1"/>
    <xf numFmtId="0" fontId="59" fillId="0" borderId="40" xfId="0" applyFont="1" applyBorder="1" applyProtection="1">
      <protection locked="0"/>
    </xf>
    <xf numFmtId="0" fontId="0" fillId="0" borderId="0" xfId="0" applyAlignment="1">
      <alignment horizontal="center" vertical="top"/>
    </xf>
    <xf numFmtId="0" fontId="17" fillId="0" borderId="0" xfId="0" applyFont="1"/>
    <xf numFmtId="0" fontId="5" fillId="0" borderId="0" xfId="0" applyFont="1"/>
    <xf numFmtId="0" fontId="16" fillId="0" borderId="0" xfId="0" applyFont="1" applyAlignment="1" applyProtection="1">
      <alignment horizontal="justify" vertical="top"/>
      <protection locked="0"/>
    </xf>
    <xf numFmtId="0" fontId="26" fillId="7" borderId="15" xfId="5" applyFont="1" applyBorder="1" applyAlignment="1" applyProtection="1">
      <alignment horizontal="left" vertical="center"/>
    </xf>
    <xf numFmtId="0" fontId="47" fillId="0" borderId="20" xfId="0" applyFont="1" applyBorder="1" applyAlignment="1" applyProtection="1">
      <alignment horizontal="left" vertical="center" wrapText="1"/>
      <protection locked="0"/>
    </xf>
    <xf numFmtId="0" fontId="46" fillId="0" borderId="19" xfId="0" applyFont="1" applyBorder="1" applyAlignment="1">
      <alignment horizontal="left" vertical="center"/>
    </xf>
    <xf numFmtId="0" fontId="17"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7"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30"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6"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2" fillId="0" borderId="0" xfId="0" applyFont="1" applyAlignment="1" applyProtection="1">
      <alignment vertical="top" wrapText="1"/>
      <protection locked="0"/>
    </xf>
    <xf numFmtId="0" fontId="68" fillId="0" borderId="0" xfId="0" applyFont="1" applyAlignment="1" applyProtection="1">
      <alignment vertical="top" wrapText="1"/>
      <protection locked="0"/>
    </xf>
    <xf numFmtId="14" fontId="57"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9" fillId="0" borderId="0" xfId="0" applyFont="1" applyAlignment="1">
      <alignment horizontal="left"/>
    </xf>
    <xf numFmtId="20" fontId="30" fillId="0" borderId="13" xfId="0" applyNumberFormat="1" applyFont="1" applyBorder="1" applyAlignment="1">
      <alignment horizontal="left" wrapText="1"/>
    </xf>
    <xf numFmtId="0" fontId="16" fillId="0" borderId="13" xfId="0" applyFont="1" applyBorder="1" applyAlignment="1" applyProtection="1">
      <alignment horizontal="fill" vertical="center"/>
      <protection hidden="1"/>
    </xf>
    <xf numFmtId="14" fontId="57" fillId="0" borderId="26" xfId="0" applyNumberFormat="1" applyFont="1" applyBorder="1" applyAlignment="1" applyProtection="1">
      <alignment horizontal="center" vertical="center"/>
      <protection locked="0"/>
    </xf>
    <xf numFmtId="166" fontId="23" fillId="6" borderId="9" xfId="4" applyNumberFormat="1" applyFont="1" applyBorder="1" applyAlignment="1" applyProtection="1">
      <alignment horizontal="left" vertical="center"/>
    </xf>
    <xf numFmtId="0" fontId="0" fillId="0" borderId="0" xfId="0" applyAlignment="1">
      <alignment horizontal="left"/>
    </xf>
    <xf numFmtId="0" fontId="17"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8" fillId="0" borderId="8" xfId="0" applyFont="1" applyBorder="1" applyAlignment="1">
      <alignment horizontal="left" vertical="center"/>
    </xf>
    <xf numFmtId="0" fontId="17" fillId="0" borderId="4" xfId="0" applyFont="1" applyBorder="1" applyAlignment="1" applyProtection="1">
      <alignment horizontal="center" vertical="center"/>
      <protection locked="0"/>
    </xf>
    <xf numFmtId="0" fontId="12" fillId="0" borderId="12" xfId="0" applyFont="1" applyBorder="1" applyAlignment="1">
      <alignment horizontal="left"/>
    </xf>
    <xf numFmtId="0" fontId="4" fillId="0" borderId="8" xfId="0" applyFont="1" applyBorder="1"/>
    <xf numFmtId="0" fontId="38"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8" fillId="8" borderId="18" xfId="6" applyFont="1" applyBorder="1" applyAlignment="1" applyProtection="1">
      <alignment horizontal="left" vertical="center"/>
    </xf>
    <xf numFmtId="0" fontId="0" fillId="0" borderId="0" xfId="0" applyNumberFormat="1"/>
    <xf numFmtId="0" fontId="28" fillId="8" borderId="18" xfId="6" applyFont="1" applyBorder="1" applyAlignment="1" applyProtection="1">
      <alignment horizontal="left" vertical="center"/>
      <protection locked="0"/>
    </xf>
    <xf numFmtId="0" fontId="23" fillId="8" borderId="16" xfId="6" applyFont="1" applyBorder="1" applyAlignment="1" applyProtection="1">
      <alignment horizontal="left" vertical="center"/>
      <protection locked="0"/>
    </xf>
    <xf numFmtId="0" fontId="0" fillId="0" borderId="0" xfId="0" applyBorder="1"/>
    <xf numFmtId="0" fontId="51"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9"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2" fillId="13" borderId="0" xfId="0" applyFont="1" applyFill="1" applyAlignment="1">
      <alignment horizontal="left"/>
    </xf>
    <xf numFmtId="0" fontId="2" fillId="0" borderId="0" xfId="0" applyFont="1"/>
    <xf numFmtId="49" fontId="47" fillId="0" borderId="20" xfId="0" applyNumberFormat="1" applyFont="1" applyBorder="1" applyAlignment="1" applyProtection="1">
      <alignment horizontal="left" vertical="center" wrapText="1"/>
      <protection hidden="1"/>
    </xf>
    <xf numFmtId="0" fontId="47" fillId="0" borderId="20" xfId="0" applyFont="1" applyBorder="1" applyAlignment="1" applyProtection="1">
      <alignment horizontal="left" vertical="center" wrapText="1"/>
      <protection hidden="1"/>
    </xf>
    <xf numFmtId="0" fontId="70" fillId="0" borderId="0" xfId="0" applyFont="1" applyAlignment="1" applyProtection="1">
      <alignment horizontal="justify" vertical="top" wrapText="1"/>
      <protection locked="0"/>
    </xf>
    <xf numFmtId="0" fontId="3" fillId="0" borderId="0" xfId="0" applyFont="1" applyAlignment="1" applyProtection="1">
      <alignment horizontal="justify" vertical="top" wrapText="1"/>
      <protection locked="0"/>
    </xf>
    <xf numFmtId="0" fontId="3" fillId="0" borderId="13" xfId="0" applyFont="1" applyBorder="1" applyAlignment="1" applyProtection="1">
      <alignment horizontal="justify" vertical="top" wrapText="1"/>
      <protection locked="0"/>
    </xf>
    <xf numFmtId="0" fontId="39"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3" fillId="0" borderId="0" xfId="0" applyFont="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63" fillId="0" borderId="0" xfId="0" applyFont="1" applyAlignment="1" applyProtection="1">
      <alignment horizontal="justify" vertical="top" wrapText="1"/>
      <protection locked="0"/>
    </xf>
    <xf numFmtId="0" fontId="59" fillId="0" borderId="0" xfId="0" applyFont="1" applyAlignment="1" applyProtection="1">
      <alignment horizontal="justify" vertical="top" wrapText="1"/>
      <protection locked="0"/>
    </xf>
    <xf numFmtId="0" fontId="59" fillId="0" borderId="13" xfId="0" applyFont="1" applyBorder="1" applyAlignment="1" applyProtection="1">
      <alignment horizontal="justify" vertical="top" wrapText="1"/>
      <protection locked="0"/>
    </xf>
    <xf numFmtId="0" fontId="59" fillId="0" borderId="3" xfId="0" applyFont="1" applyBorder="1" applyAlignment="1" applyProtection="1">
      <alignment horizontal="justify" vertical="top" wrapText="1"/>
      <protection locked="0"/>
    </xf>
    <xf numFmtId="0" fontId="59"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52" fillId="0" borderId="4" xfId="0" applyFont="1" applyBorder="1" applyAlignment="1" applyProtection="1">
      <alignment horizontal="left" vertical="center"/>
      <protection locked="0"/>
    </xf>
    <xf numFmtId="0" fontId="1" fillId="0" borderId="0" xfId="0" applyFont="1" applyAlignment="1" applyProtection="1">
      <alignment horizontal="justify" vertical="top" wrapText="1"/>
      <protection locked="0"/>
    </xf>
    <xf numFmtId="0" fontId="42" fillId="0" borderId="0" xfId="0" applyFont="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xf numFmtId="0" fontId="71" fillId="0" borderId="5"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1"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8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6" totalsRowShown="0" headerRowDxfId="66" tableBorderDxfId="65">
  <tableColumns count="4">
    <tableColumn id="1" name="№" dataDxfId="64">
      <calculatedColumnFormula>ROW(Вмешательства[[#This Row],[№]])-1</calculatedColumnFormula>
    </tableColumn>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tabSelected="1" showWhiteSpace="0" zoomScaleNormal="100" zoomScaleSheetLayoutView="100" zoomScalePageLayoutView="90" workbookViewId="0">
      <selection activeCell="I21" sqref="I21"/>
    </sheetView>
  </sheetViews>
  <sheetFormatPr defaultColWidth="0" defaultRowHeight="15" zeroHeight="1"/>
  <cols>
    <col min="1" max="1" width="17.7109375" style="208" bestFit="1" customWidth="1"/>
    <col min="2" max="2" width="21.5703125" style="208" customWidth="1"/>
    <col min="3" max="3" width="6.28515625" style="208" customWidth="1"/>
    <col min="4" max="4" width="6.85546875" style="208" customWidth="1"/>
    <col min="5" max="5" width="4.85546875" style="208" customWidth="1"/>
    <col min="6" max="6" width="6.28515625" style="208" customWidth="1"/>
    <col min="7" max="7" width="17.7109375" style="208" customWidth="1"/>
    <col min="8" max="8" width="17.140625" style="208" customWidth="1"/>
    <col min="9" max="9" width="15.28515625" style="208" customWidth="1"/>
    <col min="10" max="10" width="7.28515625" style="208"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2" t="s">
        <v>213</v>
      </c>
      <c r="B6" s="223"/>
      <c r="C6" s="223"/>
      <c r="D6" s="223"/>
      <c r="E6" s="223"/>
      <c r="F6" s="223"/>
      <c r="G6" s="223"/>
      <c r="H6" s="224"/>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52"/>
      <c r="D7" s="52"/>
      <c r="E7" s="52"/>
      <c r="F7" s="52"/>
      <c r="G7"/>
      <c r="H7" s="38"/>
    </row>
    <row r="8" spans="1:8" ht="18.75">
      <c r="A8" s="13" t="s">
        <v>191</v>
      </c>
      <c r="B8" s="19">
        <v>45758</v>
      </c>
      <c r="C8" s="53"/>
      <c r="D8" s="15" t="s">
        <v>186</v>
      </c>
      <c r="E8" s="28"/>
      <c r="F8" s="28"/>
      <c r="G8" s="16"/>
      <c r="H8" s="17"/>
    </row>
    <row r="9" spans="1:8" ht="15.6" customHeight="1">
      <c r="A9" s="20" t="s">
        <v>193</v>
      </c>
      <c r="B9" s="21">
        <v>0.71527777777777779</v>
      </c>
      <c r="C9" s="53"/>
      <c r="D9" s="93" t="s">
        <v>172</v>
      </c>
      <c r="E9" s="91"/>
      <c r="F9" s="91"/>
      <c r="G9" s="22" t="s">
        <v>163</v>
      </c>
      <c r="H9" s="24"/>
    </row>
    <row r="10" spans="1:8" ht="15.6" customHeight="1" thickBot="1">
      <c r="A10" s="82" t="s">
        <v>194</v>
      </c>
      <c r="B10" s="83">
        <v>0.72222222222222221</v>
      </c>
      <c r="C10" s="54"/>
      <c r="D10" s="94" t="s">
        <v>173</v>
      </c>
      <c r="E10" s="92"/>
      <c r="F10" s="92"/>
      <c r="G10" s="23" t="s">
        <v>168</v>
      </c>
      <c r="H10" s="25"/>
    </row>
    <row r="11" spans="1:8" ht="17.25" thickTop="1" thickBot="1">
      <c r="A11" s="88" t="s">
        <v>192</v>
      </c>
      <c r="B11" s="200" t="s">
        <v>538</v>
      </c>
      <c r="C11" s="8"/>
      <c r="D11" s="94" t="s">
        <v>170</v>
      </c>
      <c r="E11" s="92"/>
      <c r="F11" s="92"/>
      <c r="G11" s="23" t="s">
        <v>251</v>
      </c>
      <c r="H11" s="25"/>
    </row>
    <row r="12" spans="1:8" ht="16.5" thickTop="1">
      <c r="A12" s="80" t="s">
        <v>8</v>
      </c>
      <c r="B12" s="81">
        <v>23964</v>
      </c>
      <c r="C12" s="11"/>
      <c r="D12" s="94" t="s">
        <v>302</v>
      </c>
      <c r="E12" s="92"/>
      <c r="F12" s="92"/>
      <c r="G12" s="23" t="s">
        <v>502</v>
      </c>
      <c r="H12" s="25"/>
    </row>
    <row r="13" spans="1:8" ht="15.75">
      <c r="A13" s="14" t="s">
        <v>10</v>
      </c>
      <c r="B13" s="29">
        <f>DATEDIF(B12,B8,"y")</f>
        <v>59</v>
      </c>
      <c r="C13" s="11"/>
      <c r="D13" s="94"/>
      <c r="E13" s="92"/>
      <c r="F13" s="92"/>
      <c r="G13" s="23"/>
      <c r="H13" s="25"/>
    </row>
    <row r="14" spans="1:8" ht="15.75">
      <c r="A14" s="14" t="s">
        <v>12</v>
      </c>
      <c r="B14" s="18">
        <v>10196</v>
      </c>
      <c r="C14" s="11"/>
      <c r="D14" s="35"/>
      <c r="E14" s="35"/>
      <c r="F14" s="35"/>
      <c r="G14" s="36"/>
      <c r="H14" s="55"/>
    </row>
    <row r="15" spans="1:8" ht="15.75">
      <c r="A15" s="14" t="s">
        <v>133</v>
      </c>
      <c r="B15" s="18">
        <v>35</v>
      </c>
      <c r="C15"/>
      <c r="D15" s="35"/>
      <c r="E15" s="35"/>
      <c r="F15" s="35"/>
      <c r="G15" s="164" t="s">
        <v>397</v>
      </c>
      <c r="H15" s="168" t="s">
        <v>537</v>
      </c>
    </row>
    <row r="16" spans="1:8" ht="15.6" customHeight="1">
      <c r="A16" s="14" t="s">
        <v>106</v>
      </c>
      <c r="B16" s="18" t="s">
        <v>310</v>
      </c>
      <c r="C16"/>
      <c r="D16" s="35"/>
      <c r="E16" s="35"/>
      <c r="F16" s="35"/>
      <c r="G16" s="165" t="s">
        <v>399</v>
      </c>
      <c r="H16" s="163">
        <v>2948</v>
      </c>
    </row>
    <row r="17" spans="1:8" ht="14.45" customHeight="1">
      <c r="A17" s="39"/>
      <c r="B17" s="30"/>
      <c r="C17" s="30"/>
      <c r="D17" s="87"/>
      <c r="E17" s="87"/>
      <c r="F17" s="87"/>
      <c r="G17" s="166" t="s">
        <v>386</v>
      </c>
      <c r="H17" s="167">
        <f>H16*0.0019</f>
        <v>5.6012000000000004</v>
      </c>
    </row>
    <row r="18" spans="1:8" ht="14.45" customHeight="1">
      <c r="A18" s="56" t="s">
        <v>188</v>
      </c>
      <c r="B18" s="86" t="s">
        <v>532</v>
      </c>
      <c r="C18"/>
      <c r="D18" s="27" t="s">
        <v>210</v>
      </c>
      <c r="E18" s="27"/>
      <c r="F18" s="27"/>
      <c r="G18" s="84" t="s">
        <v>189</v>
      </c>
      <c r="H18" s="85" t="s">
        <v>524</v>
      </c>
    </row>
    <row r="19" spans="1:8" ht="14.45" customHeight="1">
      <c r="A19" s="39"/>
      <c r="B19" s="30"/>
      <c r="C19" s="30"/>
      <c r="D19" s="33"/>
      <c r="E19" s="33"/>
      <c r="F19" s="33"/>
      <c r="G19" s="30"/>
      <c r="H19" s="40"/>
    </row>
    <row r="20" spans="1:8" ht="14.45" customHeight="1">
      <c r="A20" s="56" t="s">
        <v>212</v>
      </c>
      <c r="B20" s="225" t="s">
        <v>541</v>
      </c>
      <c r="C20" s="226"/>
      <c r="D20" s="226"/>
      <c r="E20" s="226"/>
      <c r="F20" s="226"/>
      <c r="G20" s="226"/>
      <c r="H20" s="227"/>
    </row>
    <row r="21" spans="1:8" ht="15" customHeight="1">
      <c r="A21" s="57"/>
      <c r="B21" s="228"/>
      <c r="C21" s="228"/>
      <c r="D21" s="228"/>
      <c r="E21" s="228"/>
      <c r="F21" s="228"/>
      <c r="G21" s="228"/>
      <c r="H21" s="229"/>
    </row>
    <row r="22" spans="1:8" ht="15.6" customHeight="1">
      <c r="A22" s="58" t="s">
        <v>271</v>
      </c>
      <c r="B22" s="230" t="s">
        <v>540</v>
      </c>
      <c r="C22" s="230"/>
      <c r="D22" s="230"/>
      <c r="E22" s="230"/>
      <c r="F22" s="230"/>
      <c r="G22" s="230"/>
      <c r="H22" s="231"/>
    </row>
    <row r="23" spans="1:8" ht="14.45" customHeight="1">
      <c r="A23" s="37"/>
      <c r="B23" s="225"/>
      <c r="C23" s="225"/>
      <c r="D23" s="225"/>
      <c r="E23" s="225"/>
      <c r="F23" s="225"/>
      <c r="G23" s="225"/>
      <c r="H23" s="232"/>
    </row>
    <row r="24" spans="1:8" ht="14.45" customHeight="1">
      <c r="A24" s="59"/>
      <c r="B24" s="225"/>
      <c r="C24" s="225"/>
      <c r="D24" s="225"/>
      <c r="E24" s="225"/>
      <c r="F24" s="225"/>
      <c r="G24" s="225"/>
      <c r="H24" s="232"/>
    </row>
    <row r="25" spans="1:8" ht="14.45" customHeight="1">
      <c r="A25" s="37"/>
      <c r="B25" s="225"/>
      <c r="C25" s="225"/>
      <c r="D25" s="225"/>
      <c r="E25" s="225"/>
      <c r="F25" s="225"/>
      <c r="G25" s="225"/>
      <c r="H25" s="232"/>
    </row>
    <row r="26" spans="1:8" ht="14.45" customHeight="1">
      <c r="A26" s="39"/>
      <c r="B26" s="233"/>
      <c r="C26" s="233"/>
      <c r="D26" s="233"/>
      <c r="E26" s="233"/>
      <c r="F26" s="233"/>
      <c r="G26" s="233"/>
      <c r="H26" s="234"/>
    </row>
    <row r="27" spans="1:8" ht="14.45" customHeight="1">
      <c r="A27" s="58" t="s">
        <v>272</v>
      </c>
      <c r="B27" s="230" t="s">
        <v>539</v>
      </c>
      <c r="C27" s="230"/>
      <c r="D27" s="230"/>
      <c r="E27" s="230"/>
      <c r="F27" s="230"/>
      <c r="G27" s="230"/>
      <c r="H27" s="231"/>
    </row>
    <row r="28" spans="1:8" ht="15.6" customHeight="1">
      <c r="A28" s="37"/>
      <c r="B28" s="225"/>
      <c r="C28" s="225"/>
      <c r="D28" s="225"/>
      <c r="E28" s="225"/>
      <c r="F28" s="225"/>
      <c r="G28" s="225"/>
      <c r="H28" s="232"/>
    </row>
    <row r="29" spans="1:8" ht="14.45" customHeight="1">
      <c r="A29" s="37"/>
      <c r="B29" s="225"/>
      <c r="C29" s="225"/>
      <c r="D29" s="225"/>
      <c r="E29" s="225"/>
      <c r="F29" s="225"/>
      <c r="G29" s="225"/>
      <c r="H29" s="232"/>
    </row>
    <row r="30" spans="1:8" ht="14.45" customHeight="1">
      <c r="A30" s="31"/>
      <c r="B30" s="225"/>
      <c r="C30" s="225"/>
      <c r="D30" s="225"/>
      <c r="E30" s="225"/>
      <c r="F30" s="225"/>
      <c r="G30" s="225"/>
      <c r="H30" s="232"/>
    </row>
    <row r="31" spans="1:8" ht="14.45" customHeight="1">
      <c r="A31" s="32"/>
      <c r="B31" s="233"/>
      <c r="C31" s="233"/>
      <c r="D31" s="233"/>
      <c r="E31" s="233"/>
      <c r="F31" s="233"/>
      <c r="G31" s="233"/>
      <c r="H31" s="234"/>
    </row>
    <row r="32" spans="1:8" ht="14.45" customHeight="1">
      <c r="A32" s="58" t="s">
        <v>273</v>
      </c>
      <c r="B32" s="256" t="s">
        <v>543</v>
      </c>
      <c r="C32" s="230"/>
      <c r="D32" s="230"/>
      <c r="E32" s="230"/>
      <c r="F32" s="230"/>
      <c r="G32" s="230"/>
      <c r="H32" s="231"/>
    </row>
    <row r="33" spans="1:8" ht="14.45" customHeight="1">
      <c r="A33" s="37"/>
      <c r="B33" s="225"/>
      <c r="C33" s="225"/>
      <c r="D33" s="225"/>
      <c r="E33" s="225"/>
      <c r="F33" s="225"/>
      <c r="G33" s="225"/>
      <c r="H33" s="232"/>
    </row>
    <row r="34" spans="1:8" ht="15.6" customHeight="1">
      <c r="A34" s="37"/>
      <c r="B34" s="225"/>
      <c r="C34" s="225"/>
      <c r="D34" s="225"/>
      <c r="E34" s="225"/>
      <c r="F34" s="225"/>
      <c r="G34" s="225"/>
      <c r="H34" s="232"/>
    </row>
    <row r="35" spans="1:8" ht="14.45" customHeight="1">
      <c r="A35" s="37"/>
      <c r="B35" s="225"/>
      <c r="C35" s="225"/>
      <c r="D35" s="225"/>
      <c r="E35" s="225"/>
      <c r="F35" s="225"/>
      <c r="G35" s="225"/>
      <c r="H35" s="232"/>
    </row>
    <row r="36" spans="1:8" ht="15.6" customHeight="1">
      <c r="A36" s="37"/>
      <c r="B36" s="225"/>
      <c r="C36" s="225"/>
      <c r="D36" s="225"/>
      <c r="E36" s="225"/>
      <c r="F36" s="225"/>
      <c r="G36" s="225"/>
      <c r="H36" s="232"/>
    </row>
    <row r="37" spans="1:8" ht="14.45" customHeight="1">
      <c r="A37" s="37"/>
      <c r="B37"/>
      <c r="C37"/>
      <c r="D37" s="218" t="str">
        <f>IF($A$6=Вмешательства!$D$3,Вмешательства!$F$18,"")</f>
        <v/>
      </c>
      <c r="E37" s="218"/>
      <c r="F37" s="118"/>
      <c r="G37" s="118"/>
      <c r="H37" s="122"/>
    </row>
    <row r="38" spans="1:8" ht="14.45" customHeight="1">
      <c r="A38" s="37"/>
      <c r="B38"/>
      <c r="C38" s="123"/>
      <c r="D38" s="219"/>
      <c r="E38" s="220"/>
      <c r="F38" s="220"/>
      <c r="G38" s="220"/>
      <c r="H38" s="221"/>
    </row>
    <row r="39" spans="1:8" ht="14.45" customHeight="1">
      <c r="A39" s="34"/>
      <c r="B39" s="118"/>
      <c r="C39" s="123"/>
      <c r="D39" s="220"/>
      <c r="E39" s="220"/>
      <c r="F39" s="220"/>
      <c r="G39" s="220"/>
      <c r="H39" s="221"/>
    </row>
    <row r="40" spans="1:8" ht="14.45" customHeight="1">
      <c r="A40" s="34"/>
      <c r="B40" s="118"/>
      <c r="C40" s="123"/>
      <c r="D40" s="220"/>
      <c r="E40" s="220"/>
      <c r="F40" s="220"/>
      <c r="G40" s="220"/>
      <c r="H40" s="221"/>
    </row>
    <row r="41" spans="1:8" ht="14.45" customHeight="1">
      <c r="A41" s="34"/>
      <c r="B41" s="118"/>
      <c r="C41" s="123"/>
      <c r="D41" s="220"/>
      <c r="E41" s="220"/>
      <c r="F41" s="220"/>
      <c r="G41" s="220"/>
      <c r="H41" s="221"/>
    </row>
    <row r="42" spans="1:8" ht="14.45" customHeight="1">
      <c r="A42" s="34"/>
      <c r="B42" s="118"/>
      <c r="C42" s="124"/>
      <c r="D42" s="126" t="str">
        <f>IF(ЧКВ!A6=Вмешательства!D4,Вмешательства!F24,IF(ЧКВ!A6=Вмешательства!D6,Вмешательства!F24,IF(ЧКВ!A6=Вмешательства!D7,Вмешательства!F24,IF(ЧКВ!A6=Вмешательства!D8,Вмешательства!F24,IF(ЧКВ!A6=Вмешательства!D5,Вмешательства!F24,"Рекомендовано:")))))</f>
        <v>План оперативного вмешательства:</v>
      </c>
      <c r="E42" s="41"/>
      <c r="F42" s="41"/>
      <c r="G42" s="41"/>
      <c r="H42" s="60"/>
    </row>
    <row r="43" spans="1:8" ht="14.45" customHeight="1">
      <c r="A43" s="34"/>
      <c r="B43" s="118"/>
      <c r="C43" s="125"/>
      <c r="D43" s="215" t="s">
        <v>533</v>
      </c>
      <c r="E43" s="216"/>
      <c r="F43" s="216"/>
      <c r="G43" s="216"/>
      <c r="H43" s="217"/>
    </row>
    <row r="44" spans="1:8" ht="14.45" customHeight="1">
      <c r="A44" s="34"/>
      <c r="B44" s="118"/>
      <c r="C44" s="125"/>
      <c r="D44" s="216"/>
      <c r="E44" s="216"/>
      <c r="F44" s="216"/>
      <c r="G44" s="216"/>
      <c r="H44" s="217"/>
    </row>
    <row r="45" spans="1:8" ht="14.45" customHeight="1">
      <c r="A45" s="34"/>
      <c r="B45" s="118"/>
      <c r="C45" s="125"/>
      <c r="D45" s="216"/>
      <c r="E45" s="216"/>
      <c r="F45" s="216"/>
      <c r="G45" s="216"/>
      <c r="H45" s="217"/>
    </row>
    <row r="46" spans="1:8">
      <c r="A46" s="34"/>
      <c r="B46" s="118"/>
      <c r="C46" s="125"/>
      <c r="D46" s="216"/>
      <c r="E46" s="216"/>
      <c r="F46" s="216"/>
      <c r="G46" s="216"/>
      <c r="H46" s="217"/>
    </row>
    <row r="47" spans="1:8">
      <c r="A47" s="37"/>
      <c r="B47"/>
      <c r="C47" s="125"/>
      <c r="D47" s="216"/>
      <c r="E47" s="216"/>
      <c r="F47" s="216"/>
      <c r="G47" s="216"/>
      <c r="H47" s="217"/>
    </row>
    <row r="48" spans="1:8">
      <c r="A48" s="37"/>
      <c r="B48"/>
      <c r="C48" s="125"/>
      <c r="D48" s="216"/>
      <c r="E48" s="216"/>
      <c r="F48" s="216"/>
      <c r="G48" s="216"/>
      <c r="H48" s="217"/>
    </row>
    <row r="49" spans="1:13">
      <c r="A49" s="37"/>
      <c r="B49" s="202"/>
      <c r="C49" s="203"/>
      <c r="D49" s="216"/>
      <c r="E49" s="216"/>
      <c r="F49" s="216"/>
      <c r="G49" s="216"/>
      <c r="H49" s="217"/>
    </row>
    <row r="50" spans="1:13">
      <c r="A50" s="37"/>
      <c r="B50"/>
      <c r="C50"/>
      <c r="D50" s="216"/>
      <c r="E50" s="216"/>
      <c r="F50" s="216"/>
      <c r="G50" s="216"/>
      <c r="H50" s="217"/>
      <c r="M50" t="s">
        <v>211</v>
      </c>
    </row>
    <row r="51" spans="1:13">
      <c r="A51" s="61" t="s">
        <v>204</v>
      </c>
      <c r="B51" s="62" t="s">
        <v>526</v>
      </c>
      <c r="C51"/>
      <c r="D51"/>
      <c r="E51"/>
      <c r="F51"/>
      <c r="G51" s="73" t="str">
        <f>$G$9</f>
        <v>Щербаков А.С.</v>
      </c>
      <c r="H51" s="63"/>
    </row>
    <row r="52" spans="1:13">
      <c r="A52" s="37"/>
      <c r="B52"/>
      <c r="C52"/>
      <c r="D52"/>
      <c r="E52"/>
      <c r="F52"/>
      <c r="G52"/>
      <c r="H52" s="38"/>
    </row>
    <row r="53" spans="1:13">
      <c r="A53" s="64" t="s">
        <v>206</v>
      </c>
      <c r="B53" s="65" t="s">
        <v>523</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showWhiteSpace="0" zoomScaleNormal="100" zoomScaleSheetLayoutView="100" zoomScalePageLayoutView="90" workbookViewId="0">
      <selection activeCell="J34" sqref="J34"/>
    </sheetView>
  </sheetViews>
  <sheetFormatPr defaultColWidth="0" defaultRowHeight="15" zeroHeight="1"/>
  <cols>
    <col min="1" max="1" width="18.85546875" style="209" customWidth="1"/>
    <col min="2" max="2" width="21.5703125" style="209" customWidth="1"/>
    <col min="3" max="3" width="6.28515625" style="209" customWidth="1"/>
    <col min="4" max="4" width="6.85546875" style="209" customWidth="1"/>
    <col min="5" max="5" width="4.85546875" style="209" customWidth="1"/>
    <col min="6" max="6" width="6" style="209" customWidth="1"/>
    <col min="7" max="7" width="17.7109375" style="209" customWidth="1"/>
    <col min="8" max="8" width="17.140625" style="209" customWidth="1"/>
    <col min="9" max="9" width="15.28515625" style="209" customWidth="1"/>
    <col min="10" max="10" width="7.28515625" style="209"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5" t="s">
        <v>208</v>
      </c>
      <c r="B6" s="246"/>
      <c r="C6" s="246"/>
      <c r="D6" s="246"/>
      <c r="E6" s="246"/>
      <c r="F6" s="246"/>
      <c r="G6" s="246"/>
      <c r="H6" s="247"/>
    </row>
    <row r="7" spans="1:8" ht="21.6" customHeight="1">
      <c r="A7" s="245"/>
      <c r="B7" s="246"/>
      <c r="C7" s="246"/>
      <c r="D7" s="246"/>
      <c r="E7" s="246"/>
      <c r="F7" s="246"/>
      <c r="G7" s="246"/>
      <c r="H7" s="247"/>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c r="C8" s="244" t="s">
        <v>216</v>
      </c>
      <c r="D8" s="244"/>
      <c r="E8" s="244"/>
      <c r="F8" s="187">
        <v>1</v>
      </c>
      <c r="G8" s="117" t="s">
        <v>308</v>
      </c>
      <c r="H8" s="157"/>
    </row>
    <row r="9" spans="1:8" ht="15.75" thickTop="1">
      <c r="A9" s="51" t="str">
        <f>"Код модели:"&amp;" "&amp;IFERROR(IF(ISBLANK(H8),IF(A6=Вмешательства!D4,INDEX(Код.Модели[#All],MATCH(ЧКВ!B21,Код.Модели[[#All],[Диагноз]],0),MATCH(ЧКВ!C11,Вмешательства!F2:T2,0))," ")," "),"")</f>
        <v>Код модели: 21167</v>
      </c>
      <c r="B9"/>
      <c r="C9" s="244"/>
      <c r="D9" s="244"/>
      <c r="E9" s="244"/>
      <c r="F9" s="187"/>
      <c r="G9" s="117"/>
      <c r="H9" s="38"/>
    </row>
    <row r="10" spans="1:8">
      <c r="A10" s="51" t="str">
        <f>"Код метода:"&amp;" "&amp;IFERROR(IF(ISBLANK(ЧКВ!H8),IF(A6=Вмешательства!D4,INDEX(Код.Метода[#All],MATCH(ЧКВ!B21,Код.Метода[[#All],[Диагноз]],0),MATCH(ЧКВ!C11,Вмешательства!F12:T12,0))," ")," "),"")</f>
        <v>Код метода: 47</v>
      </c>
      <c r="B10" s="186"/>
      <c r="C10" s="248"/>
      <c r="D10" s="248"/>
      <c r="E10" s="248"/>
      <c r="F10" s="190"/>
      <c r="G10" s="117"/>
      <c r="H10" s="38"/>
    </row>
    <row r="11" spans="1:8">
      <c r="A11" s="189"/>
      <c r="B11" s="193"/>
      <c r="C11" s="196">
        <f>SUM(F8:F10)</f>
        <v>1</v>
      </c>
      <c r="D11"/>
      <c r="E11"/>
      <c r="F11"/>
      <c r="G11"/>
      <c r="H11" s="38"/>
    </row>
    <row r="12" spans="1:8" ht="18.75">
      <c r="A12" s="74" t="s">
        <v>191</v>
      </c>
      <c r="B12" s="19">
        <f>КАГ!B8</f>
        <v>45758</v>
      </c>
      <c r="C12" s="11"/>
      <c r="D12" s="15" t="s">
        <v>186</v>
      </c>
      <c r="E12" s="28"/>
      <c r="F12" s="28"/>
      <c r="G12" s="16"/>
      <c r="H12" s="17"/>
    </row>
    <row r="13" spans="1:8" ht="15.75">
      <c r="A13" s="75" t="s">
        <v>193</v>
      </c>
      <c r="B13" s="21">
        <f>КАГ!B10</f>
        <v>0.72222222222222221</v>
      </c>
      <c r="C13" s="11"/>
      <c r="D13" s="93" t="s">
        <v>172</v>
      </c>
      <c r="E13" s="91"/>
      <c r="F13" s="91"/>
      <c r="G13" s="78" t="str">
        <f>КАГ!G9</f>
        <v>Щербаков А.С.</v>
      </c>
      <c r="H13" s="89" t="str">
        <f>IF(ISBLANK(КАГ!H9),"",КАГ!H9)</f>
        <v/>
      </c>
    </row>
    <row r="14" spans="1:8" ht="15.75">
      <c r="A14" s="75" t="s">
        <v>194</v>
      </c>
      <c r="B14" s="21">
        <v>0.76041666666666663</v>
      </c>
      <c r="C14" s="11"/>
      <c r="D14" s="94" t="s">
        <v>173</v>
      </c>
      <c r="E14" s="92"/>
      <c r="F14" s="92"/>
      <c r="G14" s="79" t="str">
        <f>КАГ!G10</f>
        <v>Тарасова Н.В.</v>
      </c>
      <c r="H14" s="90" t="str">
        <f>IF(ISBLANK(КАГ!H10),"",КАГ!H10)</f>
        <v/>
      </c>
    </row>
    <row r="15" spans="1:8" ht="16.5" thickBot="1">
      <c r="A15" s="162" t="s">
        <v>385</v>
      </c>
      <c r="B15" s="185">
        <f>IF(B14&lt;B13,B14+1,B14)-B13</f>
        <v>3.819444444444442E-2</v>
      </c>
      <c r="C15"/>
      <c r="D15" s="94" t="s">
        <v>170</v>
      </c>
      <c r="E15" s="92"/>
      <c r="F15" s="92"/>
      <c r="G15" s="79" t="str">
        <f>КАГ!G11</f>
        <v>Чесноков С.Л.</v>
      </c>
      <c r="H15" s="90" t="str">
        <f>IF(ISBLANK(КАГ!H11),"",КАГ!H11)</f>
        <v/>
      </c>
    </row>
    <row r="16" spans="1:8" ht="17.25" thickTop="1" thickBot="1">
      <c r="A16" s="88" t="s">
        <v>192</v>
      </c>
      <c r="B16" s="198" t="str">
        <f>КАГ!B11</f>
        <v>Абдрафиков Н.Х.</v>
      </c>
      <c r="C16" s="197">
        <f>LEN(КАГ!B11)</f>
        <v>15</v>
      </c>
      <c r="D16" s="94" t="s">
        <v>302</v>
      </c>
      <c r="E16" s="92"/>
      <c r="F16" s="92"/>
      <c r="G16" s="79" t="str">
        <f>КАГ!G12</f>
        <v>Прудникова Ю.А.</v>
      </c>
      <c r="H16" s="90" t="str">
        <f>IF(ISBLANK(КАГ!H12),"",КАГ!H12)</f>
        <v/>
      </c>
    </row>
    <row r="17" spans="1:8" ht="16.5" thickTop="1">
      <c r="A17" s="14" t="s">
        <v>8</v>
      </c>
      <c r="B17" s="66">
        <f>КАГ!B12</f>
        <v>23964</v>
      </c>
      <c r="C17"/>
      <c r="D17" s="94" t="s">
        <v>184</v>
      </c>
      <c r="E17" s="92"/>
      <c r="F17" s="92"/>
      <c r="G17" s="79" t="str">
        <f>IF(ISBLANK(КАГ!G13),"",КАГ!G13)</f>
        <v/>
      </c>
      <c r="H17" s="90" t="str">
        <f>IF(ISBLANK(КАГ!H13),"",КАГ!H13)</f>
        <v/>
      </c>
    </row>
    <row r="18" spans="1:8" ht="15.75">
      <c r="A18" s="14" t="s">
        <v>10</v>
      </c>
      <c r="B18" s="29">
        <f>КАГ!B13</f>
        <v>59</v>
      </c>
      <c r="C18"/>
      <c r="D18"/>
      <c r="E18"/>
      <c r="F18"/>
      <c r="G18"/>
      <c r="H18" s="38"/>
    </row>
    <row r="19" spans="1:8" ht="14.45" customHeight="1">
      <c r="A19" s="14" t="s">
        <v>12</v>
      </c>
      <c r="B19" s="67">
        <f>КАГ!B14</f>
        <v>10196</v>
      </c>
      <c r="C19" s="68"/>
      <c r="D19" s="68"/>
      <c r="E19" s="68"/>
      <c r="F19" s="68"/>
      <c r="G19" s="164" t="s">
        <v>397</v>
      </c>
      <c r="H19" s="213" t="str">
        <f>КАГ!H15</f>
        <v>08:18</v>
      </c>
    </row>
    <row r="20" spans="1:8" ht="14.45" customHeight="1">
      <c r="A20" s="14" t="s">
        <v>133</v>
      </c>
      <c r="B20" s="67">
        <f>КАГ!B15</f>
        <v>35</v>
      </c>
      <c r="C20" s="69"/>
      <c r="D20" s="69"/>
      <c r="E20" s="69"/>
      <c r="F20" s="69"/>
      <c r="G20" s="165" t="s">
        <v>399</v>
      </c>
      <c r="H20" s="214">
        <f>КАГ!H16</f>
        <v>2948</v>
      </c>
    </row>
    <row r="21" spans="1:8" ht="14.45" customHeight="1">
      <c r="A21" s="14" t="s">
        <v>106</v>
      </c>
      <c r="B21" s="66" t="str">
        <f>КАГ!B16</f>
        <v>ОКС БПST</v>
      </c>
      <c r="C21" s="69"/>
      <c r="D21"/>
      <c r="E21" s="70"/>
      <c r="F21" s="70"/>
      <c r="G21" s="166" t="s">
        <v>386</v>
      </c>
      <c r="H21" s="167">
        <f>КАГ!H17</f>
        <v>5.6012000000000004</v>
      </c>
    </row>
    <row r="22" spans="1:8" ht="14.45" customHeight="1">
      <c r="A22" s="56" t="str">
        <f>КАГ!G18</f>
        <v>Доступ:</v>
      </c>
      <c r="B22" s="76" t="str">
        <f>КАГ!H18</f>
        <v>лучевой</v>
      </c>
      <c r="C22" s="69"/>
      <c r="D22" s="69"/>
      <c r="E22" s="69"/>
      <c r="F22" s="69"/>
      <c r="G22" s="181" t="str">
        <f>IF(B21=Вмешательства!F3,Вмешательства!F19,"")</f>
        <v/>
      </c>
      <c r="H22" s="182" t="s">
        <v>536</v>
      </c>
    </row>
    <row r="23" spans="1:8" ht="14.45" customHeight="1">
      <c r="A23" s="64" t="s">
        <v>389</v>
      </c>
      <c r="B23" s="171" t="s">
        <v>388</v>
      </c>
      <c r="C23" s="161"/>
      <c r="D23" s="161"/>
      <c r="E23" s="161"/>
      <c r="F23" s="161"/>
      <c r="G23"/>
      <c r="H23" s="38"/>
    </row>
    <row r="24" spans="1:8" ht="14.45" customHeight="1">
      <c r="A24" s="180" t="s">
        <v>387</v>
      </c>
      <c r="B24" s="169"/>
      <c r="C24" s="169"/>
      <c r="D24" s="169"/>
      <c r="E24" s="169"/>
      <c r="F24" s="169"/>
      <c r="G24" s="169"/>
      <c r="H24" s="170"/>
    </row>
    <row r="25" spans="1:8" ht="14.45" customHeight="1">
      <c r="A25" s="252" t="s">
        <v>542</v>
      </c>
      <c r="B25" s="253"/>
      <c r="C25" s="253"/>
      <c r="D25" s="253"/>
      <c r="E25" s="253"/>
      <c r="F25" s="253"/>
      <c r="G25" s="253"/>
      <c r="H25" s="254"/>
    </row>
    <row r="26" spans="1:8" ht="14.45" customHeight="1">
      <c r="A26" s="255"/>
      <c r="B26" s="253"/>
      <c r="C26" s="253"/>
      <c r="D26" s="253"/>
      <c r="E26" s="253"/>
      <c r="F26" s="253"/>
      <c r="G26" s="253"/>
      <c r="H26" s="254"/>
    </row>
    <row r="27" spans="1:8" ht="14.45" customHeight="1">
      <c r="A27" s="255"/>
      <c r="B27" s="253"/>
      <c r="C27" s="253"/>
      <c r="D27" s="253"/>
      <c r="E27" s="253"/>
      <c r="F27" s="253"/>
      <c r="G27" s="253"/>
      <c r="H27" s="254"/>
    </row>
    <row r="28" spans="1:8" ht="14.45" customHeight="1">
      <c r="A28" s="255"/>
      <c r="B28" s="253"/>
      <c r="C28" s="253"/>
      <c r="D28" s="253"/>
      <c r="E28" s="253"/>
      <c r="F28" s="253"/>
      <c r="G28" s="253"/>
      <c r="H28" s="254"/>
    </row>
    <row r="29" spans="1:8" ht="14.45" customHeight="1">
      <c r="A29" s="255"/>
      <c r="B29" s="253"/>
      <c r="C29" s="253"/>
      <c r="D29" s="253"/>
      <c r="E29" s="253"/>
      <c r="F29" s="253"/>
      <c r="G29" s="253"/>
      <c r="H29" s="254"/>
    </row>
    <row r="30" spans="1:8" ht="14.45" customHeight="1">
      <c r="A30" s="255"/>
      <c r="B30" s="253"/>
      <c r="C30" s="253"/>
      <c r="D30" s="253"/>
      <c r="E30" s="253"/>
      <c r="F30" s="253"/>
      <c r="G30" s="253"/>
      <c r="H30" s="254"/>
    </row>
    <row r="31" spans="1:8" ht="14.45" customHeight="1">
      <c r="A31" s="255"/>
      <c r="B31" s="253"/>
      <c r="C31" s="253"/>
      <c r="D31" s="253"/>
      <c r="E31" s="253"/>
      <c r="F31" s="253"/>
      <c r="G31" s="253"/>
      <c r="H31" s="254"/>
    </row>
    <row r="32" spans="1:8" ht="14.45" customHeight="1">
      <c r="A32" s="255"/>
      <c r="B32" s="253"/>
      <c r="C32" s="253"/>
      <c r="D32" s="253"/>
      <c r="E32" s="253"/>
      <c r="F32" s="253"/>
      <c r="G32" s="253"/>
      <c r="H32" s="254"/>
    </row>
    <row r="33" spans="1:12" ht="14.45" customHeight="1">
      <c r="A33" s="255"/>
      <c r="B33" s="253"/>
      <c r="C33" s="253"/>
      <c r="D33" s="253"/>
      <c r="E33" s="253"/>
      <c r="F33" s="253"/>
      <c r="G33" s="253"/>
      <c r="H33" s="254"/>
    </row>
    <row r="34" spans="1:12" ht="14.45" customHeight="1">
      <c r="A34" s="255"/>
      <c r="B34" s="253"/>
      <c r="C34" s="253"/>
      <c r="D34" s="253"/>
      <c r="E34" s="253"/>
      <c r="F34" s="253"/>
      <c r="G34" s="253"/>
      <c r="H34" s="254"/>
    </row>
    <row r="35" spans="1:12" ht="14.45" customHeight="1">
      <c r="A35" s="255"/>
      <c r="B35" s="253"/>
      <c r="C35" s="253"/>
      <c r="D35" s="253"/>
      <c r="E35" s="253"/>
      <c r="F35" s="253"/>
      <c r="G35" s="253"/>
      <c r="H35" s="254"/>
    </row>
    <row r="36" spans="1:12" ht="14.45" customHeight="1">
      <c r="A36" s="255"/>
      <c r="B36" s="253"/>
      <c r="C36" s="253"/>
      <c r="D36" s="253"/>
      <c r="E36" s="253"/>
      <c r="F36" s="253"/>
      <c r="G36" s="253"/>
      <c r="H36" s="254"/>
    </row>
    <row r="37" spans="1:12" ht="14.45" customHeight="1">
      <c r="A37" s="255"/>
      <c r="B37" s="253"/>
      <c r="C37" s="253"/>
      <c r="D37" s="253"/>
      <c r="E37" s="253"/>
      <c r="F37" s="253"/>
      <c r="G37" s="253"/>
      <c r="H37" s="254"/>
    </row>
    <row r="38" spans="1:12" ht="14.45" customHeight="1">
      <c r="A38" s="176" t="s">
        <v>393</v>
      </c>
      <c r="B38" s="174"/>
      <c r="C38" s="175"/>
      <c r="D38" s="175"/>
      <c r="E38" s="183" t="str">
        <f>IF(A6=Вмешательства!D4,Вмешательства!V16,IF(A6=Вмешательства!D5,Вмешательства!V16,"----"))</f>
        <v>СТЕНТ/Ы</v>
      </c>
      <c r="F38" s="175"/>
      <c r="G38" s="178"/>
      <c r="H38"/>
    </row>
    <row r="39" spans="1:12" ht="15.75">
      <c r="A39" s="172" t="s">
        <v>390</v>
      </c>
      <c r="B39" s="69" t="s">
        <v>392</v>
      </c>
      <c r="C39" s="120"/>
      <c r="D39" s="121" t="s">
        <v>187</v>
      </c>
      <c r="E39" s="71"/>
      <c r="F39" s="71"/>
      <c r="G39" s="71"/>
      <c r="H39" s="72"/>
    </row>
    <row r="40" spans="1:12" ht="14.45" customHeight="1">
      <c r="A40" s="173" t="s">
        <v>391</v>
      </c>
      <c r="B40" s="177" t="s">
        <v>531</v>
      </c>
      <c r="C40" s="119"/>
      <c r="D40" s="249" t="s">
        <v>535</v>
      </c>
      <c r="E40" s="250"/>
      <c r="F40" s="250"/>
      <c r="G40" s="250"/>
      <c r="H40" s="251"/>
    </row>
    <row r="41" spans="1:12" ht="14.45" customHeight="1">
      <c r="A41" s="31"/>
      <c r="B41" s="27"/>
      <c r="C41" s="119"/>
      <c r="D41" s="250"/>
      <c r="E41" s="250"/>
      <c r="F41" s="250"/>
      <c r="G41" s="250"/>
      <c r="H41" s="251"/>
    </row>
    <row r="42" spans="1:12" ht="14.45" customHeight="1">
      <c r="A42" s="31"/>
      <c r="B42" s="27"/>
      <c r="C42" s="119"/>
      <c r="D42" s="250"/>
      <c r="E42" s="250"/>
      <c r="F42" s="250"/>
      <c r="G42" s="250"/>
      <c r="H42" s="251"/>
    </row>
    <row r="43" spans="1:12" ht="14.45" customHeight="1">
      <c r="A43" s="31"/>
      <c r="B43" s="27"/>
      <c r="C43" s="119"/>
      <c r="D43" s="250"/>
      <c r="E43" s="250"/>
      <c r="F43" s="250"/>
      <c r="G43" s="250"/>
      <c r="H43" s="251"/>
    </row>
    <row r="44" spans="1:12" ht="14.45" customHeight="1">
      <c r="A44" s="31"/>
      <c r="B44" s="27"/>
      <c r="C44" s="119"/>
      <c r="D44" s="250"/>
      <c r="E44" s="250"/>
      <c r="F44" s="250"/>
      <c r="G44" s="250"/>
      <c r="H44" s="251"/>
      <c r="L44" s="159"/>
    </row>
    <row r="45" spans="1:12" ht="14.45" customHeight="1">
      <c r="A45" s="31"/>
      <c r="B45" s="27"/>
      <c r="C45" s="119"/>
      <c r="D45" s="250"/>
      <c r="E45" s="250"/>
      <c r="F45" s="250"/>
      <c r="G45" s="250"/>
      <c r="H45" s="251"/>
    </row>
    <row r="46" spans="1:12" ht="14.45" customHeight="1">
      <c r="A46" s="31"/>
      <c r="B46" s="27"/>
      <c r="C46" s="119"/>
      <c r="D46" s="250"/>
      <c r="E46" s="250"/>
      <c r="F46" s="250"/>
      <c r="G46" s="250"/>
      <c r="H46" s="251"/>
    </row>
    <row r="47" spans="1:12" ht="14.45" customHeight="1">
      <c r="A47" s="37"/>
      <c r="B47"/>
      <c r="C47" s="119"/>
      <c r="D47" s="250"/>
      <c r="E47" s="250"/>
      <c r="F47" s="250"/>
      <c r="G47" s="250"/>
      <c r="H47" s="251"/>
    </row>
    <row r="48" spans="1:12" ht="14.45" customHeight="1">
      <c r="A48" s="37"/>
      <c r="B48"/>
      <c r="C48" s="119"/>
      <c r="D48" s="250"/>
      <c r="E48" s="250"/>
      <c r="F48" s="250"/>
      <c r="G48" s="250"/>
      <c r="H48" s="251"/>
    </row>
    <row r="49" spans="1:8" ht="14.45" customHeight="1">
      <c r="A49" s="37"/>
      <c r="B49"/>
      <c r="C49" s="119"/>
      <c r="D49" s="250"/>
      <c r="E49" s="250"/>
      <c r="F49" s="250"/>
      <c r="G49" s="250"/>
      <c r="H49" s="251"/>
    </row>
    <row r="50" spans="1:8">
      <c r="A50" s="61" t="s">
        <v>204</v>
      </c>
      <c r="B50" s="62" t="s">
        <v>534</v>
      </c>
      <c r="C50"/>
      <c r="D50"/>
      <c r="E50"/>
      <c r="F50"/>
      <c r="G50"/>
      <c r="H50" s="38"/>
    </row>
    <row r="51" spans="1:8">
      <c r="A51" s="64" t="s">
        <v>206</v>
      </c>
      <c r="B51" s="65" t="s">
        <v>523</v>
      </c>
      <c r="C51"/>
      <c r="D51"/>
      <c r="E51"/>
      <c r="F51"/>
      <c r="G51" s="73" t="str">
        <f>$G$13</f>
        <v>Щербаков А.С.</v>
      </c>
      <c r="H51" s="63"/>
    </row>
    <row r="52" spans="1:8">
      <c r="A52" s="235" t="s">
        <v>369</v>
      </c>
      <c r="B52" s="236"/>
      <c r="C52" s="236"/>
      <c r="D52" s="236"/>
      <c r="E52" s="236"/>
      <c r="F52" s="237"/>
      <c r="G52"/>
      <c r="H52" s="38"/>
    </row>
    <row r="53" spans="1:8" ht="15" customHeight="1">
      <c r="A53" s="238"/>
      <c r="B53" s="239"/>
      <c r="C53" s="239"/>
      <c r="D53" s="239"/>
      <c r="E53" s="239"/>
      <c r="F53" s="240"/>
      <c r="G53" s="73" t="str">
        <f>IF(ISBLANK(H13),"",H13)</f>
        <v/>
      </c>
      <c r="H53" s="63"/>
    </row>
    <row r="54" spans="1:8">
      <c r="A54" s="241"/>
      <c r="B54" s="242"/>
      <c r="C54" s="242"/>
      <c r="D54" s="242"/>
      <c r="E54" s="242"/>
      <c r="F54" s="243"/>
      <c r="G54" s="30"/>
      <c r="H54" s="40"/>
    </row>
    <row r="55" spans="1:8">
      <c r="A55"/>
      <c r="B55"/>
      <c r="C55"/>
      <c r="D55"/>
      <c r="E55"/>
      <c r="F55"/>
      <c r="G55"/>
      <c r="H55"/>
    </row>
    <row r="56" spans="1:8"/>
    <row r="57" spans="1:8"/>
    <row r="58" spans="1:8"/>
    <row r="59" spans="1:8"/>
    <row r="60" spans="1:8" ht="18" hidden="1" customHeight="1"/>
  </sheetData>
  <sheetProtection sheet="1" objects="1" scenarios="1" formatCells="0" formatColumns="0"/>
  <mergeCells count="7">
    <mergeCell ref="A52:F54"/>
    <mergeCell ref="C8:E8"/>
    <mergeCell ref="A6:H7"/>
    <mergeCell ref="C9:E9"/>
    <mergeCell ref="C10:E10"/>
    <mergeCell ref="D40:H49"/>
    <mergeCell ref="A25:H37"/>
  </mergeCells>
  <phoneticPr fontId="15"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6" customWidth="1"/>
    <col min="6" max="16384" width="9.140625" hidden="1"/>
  </cols>
  <sheetData>
    <row r="1" spans="1:1">
      <c r="A1" s="3" t="str">
        <f>КАГ!A6</f>
        <v>КОРОНАРОГРАФИЯ</v>
      </c>
    </row>
    <row r="2" spans="1:1"/>
    <row r="3" spans="1:1" ht="354" customHeight="1">
      <c r="A3" s="207" t="str">
        <f>КАГ!A18&amp;"   "&amp;КАГ!B18&amp;CHAR(10)&amp;CHAR(10)&amp;КАГ!A20&amp;"   "&amp;КАГ!B20&amp;CHAR(10)&amp;CHAR(10)&amp;КАГ!A22&amp;"   "&amp;КАГ!B22&amp;CHAR(10)&amp;CHAR(10)&amp;КАГ!A27&amp;"   "&amp;КАГ!B27&amp;CHAR(10)&amp;CHAR(10)&amp;КАГ!A32&amp;"   "&amp;КАГ!B32</f>
        <v xml:space="preserve">Тип:   Правый
Ствол ЛКА:   проходим, контуры ровные 
Бассейн ПНА:   определяется миокардиаьный мостик среднего сегмента с компрессией в систолу до 30%, стеноз дистального сегмента 30%. Антеградный кровоток TIMI III. ИМА: неровности контуров проксимального сегмента. Антеградный кровоток TIMI III
Бассейн  ОА:   неровности контуров проксимального сегмента, стеноз дистального сегмента до 50%.  Антеградный кровоток TIMI III
Бассейн ПКА:   септальный стеноз проксимального сегмента 30%, окклюзия на уровне границы проксимального и среднего сегментов, неровности контуров дистального сегмента, неровности  контуров прокс/3 ЗБВ и ЗМЖВ. Антеградный кровоток TIMI 0. Выраженный межсистемный коллатеральный кровоток из ПНА с ретроградным контрастированием ЗБВ, ЗМЖВ и дистального сегмента ПКА. Rentrop 3. </v>
      </c>
    </row>
    <row r="4" spans="1:1">
      <c r="A4" s="206"/>
    </row>
    <row r="5" spans="1:1">
      <c r="A5" s="206"/>
    </row>
    <row r="6" spans="1:1">
      <c r="A6" s="206"/>
    </row>
    <row r="7" spans="1:1">
      <c r="A7" s="206"/>
    </row>
    <row r="8" spans="1:1">
      <c r="A8" s="206"/>
    </row>
    <row r="9" spans="1:1">
      <c r="A9" s="206"/>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B24" sqref="B24"/>
    </sheetView>
  </sheetViews>
  <sheetFormatPr defaultColWidth="0" defaultRowHeight="15" zeroHeight="1"/>
  <cols>
    <col min="1" max="1" width="18.7109375" style="210" customWidth="1"/>
    <col min="2" max="2" width="45.7109375" style="210" customWidth="1"/>
    <col min="3" max="3" width="15.7109375" style="210" customWidth="1"/>
    <col min="4" max="4" width="20.7109375" style="210" customWidth="1"/>
    <col min="5" max="5" width="7.7109375" style="210" bestFit="1" customWidth="1"/>
    <col min="6" max="6" width="10.7109375" style="210" bestFit="1" customWidth="1"/>
    <col min="7" max="8" width="10.7109375" style="210" hidden="1" customWidth="1"/>
    <col min="9" max="13" width="11.7109375" style="210" hidden="1" customWidth="1"/>
    <col min="14" max="16384" width="9.140625" style="210" hidden="1"/>
  </cols>
  <sheetData>
    <row r="1" spans="1:4">
      <c r="A1" s="26"/>
      <c r="B1" s="111"/>
      <c r="C1" s="111"/>
      <c r="D1" s="112"/>
    </row>
    <row r="2" spans="1:4" ht="19.899999999999999" customHeight="1">
      <c r="A2" s="95" t="s">
        <v>98</v>
      </c>
      <c r="B2" s="96">
        <f>$D$10</f>
        <v>45758</v>
      </c>
      <c r="C2" s="151" t="str">
        <f>IF(ЧКВ!B21=Вмешательства!F13,Вмешательства!F22,Вмешательства!F20)</f>
        <v>ВМП 1</v>
      </c>
      <c r="D2" s="97" t="s">
        <v>99</v>
      </c>
    </row>
    <row r="3" spans="1:4" ht="20.45" customHeight="1">
      <c r="A3" s="98" t="s">
        <v>97</v>
      </c>
      <c r="B3" s="99"/>
      <c r="C3"/>
      <c r="D3" s="38"/>
    </row>
    <row r="4" spans="1:4" ht="16.5" thickBot="1">
      <c r="A4" s="146" t="s">
        <v>195</v>
      </c>
      <c r="B4" s="147" t="s">
        <v>105</v>
      </c>
      <c r="C4" s="148" t="s">
        <v>15</v>
      </c>
      <c r="D4" s="201" t="str">
        <f>КАГ!$B$11</f>
        <v>Абдрафиков Н.Х.</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2" t="str">
        <f>IF(ISBLANK(КАГ!A6),"",КАГ!A6)</f>
        <v>КОРОНАРОГРАФИЯ</v>
      </c>
      <c r="C5" s="130" t="s">
        <v>8</v>
      </c>
      <c r="D5" s="101">
        <f>КАГ!$B$12</f>
        <v>23964</v>
      </c>
    </row>
    <row r="6" spans="1:4">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3" t="str">
        <f>ЧКВ!A6</f>
        <v xml:space="preserve">Транслюминальная баллонная ангиопластика и стентирование коронарных артерий. </v>
      </c>
      <c r="C6" s="130" t="s">
        <v>10</v>
      </c>
      <c r="D6" s="102">
        <f>DATEDIF(D5,D10,"y")</f>
        <v>59</v>
      </c>
    </row>
    <row r="7" spans="1:4">
      <c r="A7" s="37"/>
      <c r="B7"/>
      <c r="C7" s="100" t="s">
        <v>12</v>
      </c>
      <c r="D7" s="102">
        <f>КАГ!$B$14</f>
        <v>10196</v>
      </c>
    </row>
    <row r="8" spans="1:4">
      <c r="A8" s="191" t="str">
        <f>ЧКВ!$A$9</f>
        <v>Код модели: 21167</v>
      </c>
      <c r="B8" s="103"/>
      <c r="C8" s="100" t="s">
        <v>133</v>
      </c>
      <c r="D8" s="102">
        <f>КАГ!$B$15</f>
        <v>35</v>
      </c>
    </row>
    <row r="9" spans="1:4">
      <c r="A9" s="191" t="str">
        <f>ЧКВ!$A$10</f>
        <v>Код метода: 47</v>
      </c>
      <c r="B9"/>
      <c r="C9" s="104" t="s">
        <v>106</v>
      </c>
      <c r="D9" s="102" t="str">
        <f>КАГ!$B$16</f>
        <v>ОКС БПST</v>
      </c>
    </row>
    <row r="10" spans="1:4">
      <c r="A10" s="192"/>
      <c r="B10" s="30"/>
      <c r="C10" s="149" t="s">
        <v>13</v>
      </c>
      <c r="D10" s="150">
        <f>КАГ!$B$8</f>
        <v>45758</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2" t="s">
        <v>305</v>
      </c>
      <c r="C13" s="184"/>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3" t="s">
        <v>329</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3" t="s">
        <v>519</v>
      </c>
      <c r="C15" s="134"/>
      <c r="D15" s="139">
        <v>1</v>
      </c>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3" t="s">
        <v>529</v>
      </c>
      <c r="C16" s="134" t="s">
        <v>402</v>
      </c>
      <c r="D16" s="139">
        <v>1</v>
      </c>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3" t="s">
        <v>530</v>
      </c>
      <c r="C17" s="134" t="s">
        <v>544</v>
      </c>
      <c r="D17" s="139">
        <v>1</v>
      </c>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3" t="s">
        <v>322</v>
      </c>
      <c r="C18" s="134" t="s">
        <v>455</v>
      </c>
      <c r="D18" s="139">
        <v>1</v>
      </c>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
      </c>
      <c r="B19" s="153"/>
      <c r="C19" s="179"/>
      <c r="D19" s="139"/>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
      </c>
      <c r="B20" s="154"/>
      <c r="C20" s="134"/>
      <c r="D20" s="139"/>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
      </c>
      <c r="B21" s="153"/>
      <c r="C21" s="134"/>
      <c r="D21" s="139"/>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
      </c>
      <c r="B22" s="153"/>
      <c r="C22" s="134"/>
      <c r="D22" s="141"/>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
      </c>
      <c r="B23" s="153"/>
      <c r="C23" s="134"/>
      <c r="D23" s="141"/>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c>
      <c r="B24" s="153"/>
      <c r="C24" s="134"/>
      <c r="D24" s="141"/>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c>
      <c r="B25" s="155"/>
      <c r="C25" s="144"/>
      <c r="D25" s="145"/>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1"/>
    </row>
    <row r="42" spans="1:4"/>
    <row r="43" spans="1:4"/>
    <row r="44" spans="1:4"/>
    <row r="45" spans="1:4"/>
    <row r="46" spans="1:4"/>
  </sheetData>
  <sheetProtection formatCells="0" formatColumns="0" formatRows="0" sort="0" autoFilter="0"/>
  <phoneticPr fontId="15"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90" zoomScaleNormal="90" workbookViewId="0">
      <pane ySplit="1" topLeftCell="A2" activePane="bottomLeft" state="frozen"/>
      <selection pane="bottomLeft" activeCell="F26" sqref="F26"/>
    </sheetView>
  </sheetViews>
  <sheetFormatPr defaultRowHeight="15" outlineLevelCol="1"/>
  <cols>
    <col min="1" max="1" width="5" customWidth="1"/>
    <col min="2" max="2" width="13.28515625" hidden="1" customWidth="1"/>
    <col min="3" max="3" width="25" customWidth="1"/>
    <col min="4" max="4" width="56.7109375" customWidth="1"/>
    <col min="6" max="6" width="33.85546875"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f>ROW(Вмешательства[[#This Row],[№]])-1</f>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f>ROW(Вмешательства[[#This Row],[№]])-1</f>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f>ROW(Вмешательства[[#This Row],[№]])-1</f>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c r="A5" s="8">
        <f>ROW(Вмешательства[[#This Row],[№]])-1</f>
        <v>4</v>
      </c>
      <c r="B5" s="2"/>
      <c r="C5" s="8" t="s">
        <v>82</v>
      </c>
      <c r="D5" s="5" t="s">
        <v>242</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f>ROW(Вмешательства[[#This Row],[№]])-1</f>
        <v>5</v>
      </c>
      <c r="B6" s="2" t="s">
        <v>36</v>
      </c>
      <c r="C6" s="8" t="s">
        <v>37</v>
      </c>
      <c r="D6" s="5" t="s">
        <v>398</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ht="30">
      <c r="A7" s="8">
        <f>ROW(Вмешательства[[#This Row],[№]])-1</f>
        <v>6</v>
      </c>
      <c r="B7" s="2"/>
      <c r="C7" s="8" t="s">
        <v>229</v>
      </c>
      <c r="D7" s="5" t="s">
        <v>132</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f>ROW(Вмешательства[[#This Row],[№]])-1</f>
        <v>7</v>
      </c>
      <c r="B8" s="2"/>
      <c r="C8" s="8" t="s">
        <v>80</v>
      </c>
      <c r="D8" s="5" t="s">
        <v>247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f>ROW(Вмешательства[[#This Row],[№]])-1</f>
        <v>8</v>
      </c>
      <c r="B9" s="2" t="s">
        <v>35</v>
      </c>
      <c r="C9" s="8" t="s">
        <v>86</v>
      </c>
      <c r="D9" s="5" t="s">
        <v>87</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f>ROW(Вмешательства[[#This Row],[№]])-1</f>
        <v>9</v>
      </c>
      <c r="B10" s="2"/>
      <c r="C10" s="8" t="s">
        <v>230</v>
      </c>
      <c r="D10" s="5" t="s">
        <v>139</v>
      </c>
      <c r="G10" s="3"/>
      <c r="H10" s="11"/>
      <c r="I10" s="11"/>
      <c r="J10" s="3"/>
      <c r="K10" s="3"/>
      <c r="L10" s="3"/>
      <c r="M10" s="3"/>
      <c r="N10" s="11"/>
      <c r="O10" s="11"/>
      <c r="P10" s="11"/>
      <c r="Q10" s="11"/>
      <c r="R10" s="11"/>
      <c r="S10" s="11"/>
      <c r="T10" s="11"/>
      <c r="V10" t="s">
        <v>224</v>
      </c>
    </row>
    <row r="11" spans="1:23">
      <c r="A11" s="8">
        <f>ROW(Вмешательства[[#This Row],[№]])-1</f>
        <v>10</v>
      </c>
      <c r="B11" s="2" t="s">
        <v>25</v>
      </c>
      <c r="C11" s="8" t="s">
        <v>231</v>
      </c>
      <c r="D11" s="5" t="s">
        <v>26</v>
      </c>
      <c r="G11" s="3"/>
      <c r="H11" s="11"/>
      <c r="I11" s="11"/>
      <c r="J11" s="11"/>
      <c r="K11" s="11"/>
      <c r="L11" s="11"/>
      <c r="M11" s="11"/>
      <c r="N11" s="11"/>
      <c r="O11" s="11"/>
      <c r="P11" s="11"/>
      <c r="Q11" s="11"/>
      <c r="R11" s="11"/>
      <c r="S11" s="11"/>
      <c r="T11" s="11"/>
      <c r="V11" t="s">
        <v>216</v>
      </c>
      <c r="W11" s="11"/>
    </row>
    <row r="12" spans="1:23">
      <c r="A12" s="8">
        <f>ROW(Вмешательства[[#This Row],[№]])-1</f>
        <v>11</v>
      </c>
      <c r="B12" s="2" t="s">
        <v>19</v>
      </c>
      <c r="C12" s="8" t="s">
        <v>232</v>
      </c>
      <c r="D12" s="5" t="s">
        <v>20</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f>ROW(Вмешательства[[#This Row],[№]])-1</f>
        <v>12</v>
      </c>
      <c r="B13" s="2" t="s">
        <v>21</v>
      </c>
      <c r="C13" s="8" t="s">
        <v>233</v>
      </c>
      <c r="D13" s="5" t="s">
        <v>22</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f>ROW(Вмешательства[[#This Row],[№]])-1</f>
        <v>13</v>
      </c>
      <c r="B14" s="2" t="s">
        <v>23</v>
      </c>
      <c r="C14" s="8" t="s">
        <v>234</v>
      </c>
      <c r="D14" s="5" t="s">
        <v>24</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f>ROW(Вмешательства[[#This Row],[№]])-1</f>
        <v>14</v>
      </c>
      <c r="B15" s="2" t="s">
        <v>27</v>
      </c>
      <c r="C15" s="8" t="s">
        <v>235</v>
      </c>
      <c r="D15" s="5" t="s">
        <v>28</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f>ROW(Вмешательства[[#This Row],[№]])-1</f>
        <v>15</v>
      </c>
      <c r="B16" s="2" t="s">
        <v>29</v>
      </c>
      <c r="C16" s="8" t="s">
        <v>236</v>
      </c>
      <c r="D16" s="5" t="s">
        <v>30</v>
      </c>
      <c r="V16" t="s">
        <v>394</v>
      </c>
    </row>
    <row r="17" spans="1:23">
      <c r="A17" s="8">
        <f>ROW(Вмешательства[[#This Row],[№]])-1</f>
        <v>16</v>
      </c>
      <c r="B17" s="2" t="s">
        <v>31</v>
      </c>
      <c r="C17" s="8" t="s">
        <v>237</v>
      </c>
      <c r="D17" s="5" t="s">
        <v>32</v>
      </c>
      <c r="F17" t="s">
        <v>486</v>
      </c>
      <c r="V17" t="s">
        <v>395</v>
      </c>
    </row>
    <row r="18" spans="1:23">
      <c r="A18" s="8">
        <f>ROW(Вмешательства[[#This Row],[№]])-1</f>
        <v>17</v>
      </c>
      <c r="B18" s="2" t="s">
        <v>33</v>
      </c>
      <c r="C18" s="8" t="s">
        <v>238</v>
      </c>
      <c r="D18" s="5" t="s">
        <v>34</v>
      </c>
      <c r="F18" t="s">
        <v>215</v>
      </c>
    </row>
    <row r="19" spans="1:23" ht="30">
      <c r="A19" s="8">
        <f>ROW(Вмешательства[[#This Row],[№]])-1</f>
        <v>18</v>
      </c>
      <c r="B19" s="2" t="s">
        <v>40</v>
      </c>
      <c r="C19" s="8" t="s">
        <v>41</v>
      </c>
      <c r="D19" s="5" t="s">
        <v>42</v>
      </c>
      <c r="F19" t="s">
        <v>207</v>
      </c>
    </row>
    <row r="20" spans="1:23" ht="30">
      <c r="A20" s="8">
        <f>ROW(Вмешательства[[#This Row],[№]])-1</f>
        <v>19</v>
      </c>
      <c r="B20" s="2" t="s">
        <v>43</v>
      </c>
      <c r="C20" s="8" t="s">
        <v>44</v>
      </c>
      <c r="D20" s="5" t="s">
        <v>45</v>
      </c>
      <c r="F20" t="s">
        <v>304</v>
      </c>
      <c r="J20" s="11"/>
    </row>
    <row r="21" spans="1:23" ht="30">
      <c r="A21" s="8">
        <f>ROW(Вмешательства[[#This Row],[№]])-1</f>
        <v>20</v>
      </c>
      <c r="B21" s="2" t="s">
        <v>46</v>
      </c>
      <c r="C21" s="8" t="s">
        <v>47</v>
      </c>
      <c r="D21" s="5" t="s">
        <v>48</v>
      </c>
      <c r="F21" t="s">
        <v>335</v>
      </c>
      <c r="J21" s="11"/>
    </row>
    <row r="22" spans="1:23" ht="30">
      <c r="A22" s="8">
        <f>ROW(Вмешательства[[#This Row],[№]])-1</f>
        <v>21</v>
      </c>
      <c r="B22" s="2" t="s">
        <v>49</v>
      </c>
      <c r="C22" s="8" t="s">
        <v>50</v>
      </c>
      <c r="D22" s="5" t="s">
        <v>51</v>
      </c>
      <c r="F22" t="s">
        <v>336</v>
      </c>
      <c r="J22" s="11"/>
      <c r="U22" s="2"/>
    </row>
    <row r="23" spans="1:23" ht="30">
      <c r="A23" s="8">
        <f>ROW(Вмешательства[[#This Row],[№]])-1</f>
        <v>22</v>
      </c>
      <c r="B23" s="2" t="s">
        <v>52</v>
      </c>
      <c r="C23" s="8" t="s">
        <v>53</v>
      </c>
      <c r="D23" s="5" t="s">
        <v>54</v>
      </c>
      <c r="F23" t="s">
        <v>346</v>
      </c>
      <c r="J23" s="11"/>
      <c r="U23" s="2"/>
    </row>
    <row r="24" spans="1:23">
      <c r="A24" s="8">
        <f>ROW(Вмешательства[[#This Row],[№]])-1</f>
        <v>23</v>
      </c>
      <c r="B24" s="2" t="s">
        <v>55</v>
      </c>
      <c r="C24" s="8" t="s">
        <v>56</v>
      </c>
      <c r="D24" s="5" t="s">
        <v>57</v>
      </c>
      <c r="F24" t="s">
        <v>501</v>
      </c>
      <c r="H24" s="10"/>
      <c r="K24" s="2"/>
      <c r="U24" s="2"/>
      <c r="W24" s="11"/>
    </row>
    <row r="25" spans="1:23">
      <c r="A25" s="8">
        <f>ROW(Вмешательства[[#This Row],[№]])-1</f>
        <v>24</v>
      </c>
      <c r="B25" s="2" t="s">
        <v>58</v>
      </c>
      <c r="C25" s="8" t="s">
        <v>59</v>
      </c>
      <c r="D25" s="5" t="s">
        <v>60</v>
      </c>
      <c r="K25" s="2"/>
    </row>
    <row r="26" spans="1:23" ht="30">
      <c r="A26" s="8">
        <f>ROW(Вмешательства[[#This Row],[№]])-1</f>
        <v>25</v>
      </c>
      <c r="B26" s="2" t="s">
        <v>61</v>
      </c>
      <c r="C26" s="8" t="s">
        <v>62</v>
      </c>
      <c r="D26" s="5" t="s">
        <v>63</v>
      </c>
      <c r="H26" s="10"/>
      <c r="K26" s="3"/>
      <c r="W26" s="10"/>
    </row>
    <row r="27" spans="1:23" ht="45">
      <c r="A27" s="8">
        <f>ROW(Вмешательства[[#This Row],[№]])-1</f>
        <v>26</v>
      </c>
      <c r="B27" s="2" t="s">
        <v>64</v>
      </c>
      <c r="C27" s="8" t="s">
        <v>65</v>
      </c>
      <c r="D27" s="5" t="s">
        <v>66</v>
      </c>
      <c r="H27" s="10"/>
      <c r="W27" s="10"/>
    </row>
    <row r="28" spans="1:23">
      <c r="A28" s="8">
        <f>ROW(Вмешательства[[#This Row],[№]])-1</f>
        <v>27</v>
      </c>
      <c r="B28" s="2" t="s">
        <v>67</v>
      </c>
      <c r="C28" s="77" t="s">
        <v>244</v>
      </c>
      <c r="D28" s="5" t="s">
        <v>245</v>
      </c>
      <c r="H28" s="10"/>
      <c r="W28" s="10"/>
    </row>
    <row r="29" spans="1:23" ht="45">
      <c r="A29" s="8">
        <f>ROW(Вмешательства[[#This Row],[№]])-1</f>
        <v>28</v>
      </c>
      <c r="B29" s="2" t="s">
        <v>68</v>
      </c>
      <c r="C29" s="77" t="s">
        <v>69</v>
      </c>
      <c r="D29" s="5" t="s">
        <v>70</v>
      </c>
      <c r="H29" s="10"/>
      <c r="W29" s="10"/>
    </row>
    <row r="30" spans="1:23" ht="30">
      <c r="A30" s="8">
        <f>ROW(Вмешательства[[#This Row],[№]])-1</f>
        <v>29</v>
      </c>
      <c r="B30" s="2" t="s">
        <v>71</v>
      </c>
      <c r="C30" s="77" t="s">
        <v>72</v>
      </c>
      <c r="D30" s="5" t="s">
        <v>73</v>
      </c>
      <c r="H30" s="10"/>
      <c r="W30" s="10"/>
    </row>
    <row r="31" spans="1:23">
      <c r="A31" s="8">
        <f>ROW(Вмешательства[[#This Row],[№]])-1</f>
        <v>30</v>
      </c>
      <c r="B31" s="2" t="s">
        <v>74</v>
      </c>
      <c r="C31" s="77" t="s">
        <v>240</v>
      </c>
      <c r="D31" s="5" t="s">
        <v>75</v>
      </c>
      <c r="H31" s="10"/>
      <c r="W31" s="10"/>
    </row>
    <row r="32" spans="1:23">
      <c r="A32" s="8">
        <f>ROW(Вмешательства[[#This Row],[№]])-1</f>
        <v>31</v>
      </c>
      <c r="B32" s="2" t="s">
        <v>76</v>
      </c>
      <c r="C32" s="77" t="s">
        <v>239</v>
      </c>
      <c r="D32" s="5" t="s">
        <v>77</v>
      </c>
      <c r="H32" s="10"/>
      <c r="W32" s="10"/>
    </row>
    <row r="33" spans="1:23">
      <c r="A33" s="8">
        <f>ROW(Вмешательства[[#This Row],[№]])-1</f>
        <v>32</v>
      </c>
      <c r="B33" s="2" t="s">
        <v>78</v>
      </c>
      <c r="C33" s="77" t="s">
        <v>241</v>
      </c>
      <c r="D33" s="5" t="s">
        <v>79</v>
      </c>
      <c r="H33" s="10"/>
      <c r="I33" s="10"/>
      <c r="W33" s="10"/>
    </row>
    <row r="34" spans="1:23">
      <c r="A34" s="8">
        <f>ROW(Вмешательства[[#This Row],[№]])-1</f>
        <v>33</v>
      </c>
      <c r="B34" s="2" t="s">
        <v>81</v>
      </c>
      <c r="C34" s="77" t="s">
        <v>82</v>
      </c>
      <c r="D34" s="5" t="s">
        <v>242</v>
      </c>
      <c r="H34" s="10"/>
      <c r="W34" s="10"/>
    </row>
    <row r="35" spans="1:23">
      <c r="A35" s="8">
        <f>ROW(Вмешательства[[#This Row],[№]])-1</f>
        <v>34</v>
      </c>
      <c r="B35" s="2" t="s">
        <v>83</v>
      </c>
      <c r="C35" s="77" t="s">
        <v>84</v>
      </c>
      <c r="D35" s="5" t="s">
        <v>243</v>
      </c>
      <c r="H35" s="10"/>
      <c r="W35" s="10"/>
    </row>
    <row r="36" spans="1:23" ht="34.15" customHeight="1">
      <c r="A36" s="8">
        <f>ROW(Вмешательства[[#This Row],[№]])-1</f>
        <v>35</v>
      </c>
      <c r="B36" s="2"/>
      <c r="C36" s="77" t="s">
        <v>246</v>
      </c>
      <c r="D36" s="5" t="s">
        <v>88</v>
      </c>
      <c r="F36" s="10"/>
      <c r="H36" s="10"/>
      <c r="W36" s="10"/>
    </row>
    <row r="37" spans="1:23">
      <c r="A37" s="8"/>
      <c r="B37" s="2"/>
      <c r="C37" s="8"/>
      <c r="D37" s="5"/>
      <c r="G37" s="10"/>
      <c r="H37" s="10"/>
    </row>
    <row r="38" spans="1:23">
      <c r="A38" s="8"/>
      <c r="B38" s="2"/>
      <c r="C38" s="8"/>
      <c r="D38" s="5"/>
    </row>
  </sheetData>
  <sheetProtection sheet="1" objects="1" scenarios="1" formatCells="0" formatColumns="0"/>
  <phoneticPr fontId="15"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86" zoomScaleNormal="100" workbookViewId="0">
      <selection activeCell="AM9" sqref="AM9"/>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customWidth="1" outlineLevel="1"/>
    <col min="11" max="17" width="4.42578125" style="115" customWidth="1" outlineLevel="1"/>
    <col min="18" max="30" width="4.42578125" style="114" customWidth="1" outlineLevel="1"/>
    <col min="31" max="31" width="8.85546875"/>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8"/>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0</v>
      </c>
      <c r="H2" s="115">
        <f>IF(ISNUMBER(SEARCH('Карта учёта'!$B$16,Расходка[[#This Row],[Наименование расходного материала]])),MAX($H$1:H1)+1,0)</f>
        <v>0</v>
      </c>
      <c r="I2" s="115">
        <f>IF(ISNUMBER(SEARCH('Карта учёта'!$B$17,Расходка[[#This Row],[Наименование расходного материала]])),MAX($I$1:I1)+1,0)</f>
        <v>0</v>
      </c>
      <c r="J2" s="115">
        <f>IF(ISNUMBER(SEARCH('Карта учёта'!$B$18,Расходка[[#This Row],[Наименование расходного материала]])),MAX($J$1:J1)+1,0)</f>
        <v>0</v>
      </c>
      <c r="K2" s="115">
        <f>IF(ISNUMBER(SEARCH('Карта учёта'!$B$19,Расходка[[#This Row],[Наименование расходного материала]])),MAX($K$1:K1)+1,0)</f>
        <v>1</v>
      </c>
      <c r="L2" s="115">
        <f>IF(ISNUMBER(SEARCH('Карта учёта'!$B$20,Расходка[[#This Row],[Наименование расходного материала]])),MAX($L$1:L1)+1,0)</f>
        <v>1</v>
      </c>
      <c r="M2" s="115">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5">
        <f>IF(ISNUMBER(SEARCH('Карта учёта'!$B$23,Расходка[[#This Row],[Наименование расходного материала]])),MAX($O$1:O1)+1,0)</f>
        <v>1</v>
      </c>
      <c r="P2" s="115">
        <f>IF(ISNUMBER(SEARCH('Карта учёта'!$B$24,Расходка[[#This Row],[Наименование расходного материала]])),MAX($P$1:P1)+1,0)</f>
        <v>1</v>
      </c>
      <c r="Q2" s="115">
        <f>IF(ISNUMBER(SEARCH('Карта учёта'!$B$25,Расходка[[#This Row],[Наименование расходного материала]])),MAX($Q$1:Q1)+1,0)</f>
        <v>1</v>
      </c>
      <c r="R2" s="114" t="str">
        <f>IFERROR(INDEX(Расходка[Наименование расходного материала],MATCH(Расходка[[#This Row],[№]],Поиск_расходки[Индекс1],0)),"")</f>
        <v>Индефлятор</v>
      </c>
      <c r="S2" s="114" t="str">
        <f>IFERROR(INDEX(Расходка[Наименование расходного материала],MATCH(Расходка[[#This Row],[№]],Поиск_расходки[Индекс2],0)),"")</f>
        <v>Launcher 6F JR 4.0</v>
      </c>
      <c r="T2" s="114" t="str">
        <f>IFERROR(INDEX(Расходка[Наименование расходного материала],MATCH(Расходка[[#This Row],[№]],Поиск_расходки[Индекс3],0)),"")</f>
        <v>Pilot 150, 190 cm</v>
      </c>
      <c r="U2" s="114" t="str">
        <f>IFERROR(INDEX(Расходка[Наименование расходного материала],MATCH(Расходка[[#This Row],[№]],Поиск_расходки[Индекс4],0)),"")</f>
        <v>Artimes</v>
      </c>
      <c r="V2" s="114" t="str">
        <f>IFERROR(INDEX(Расходка[Наименование расходного материала],MATCH(Расходка[[#This Row],[№]],Поиск_расходки[Индекс5],0)),"")</f>
        <v>Apollo</v>
      </c>
      <c r="W2" s="114" t="str">
        <f>IFERROR(INDEX(Расходка[Наименование расходного материала],MATCH(Расходка[[#This Row],[№]],Поиск_расходки[Индекс6],0)),"")</f>
        <v>DES, Resolute Integtity</v>
      </c>
      <c r="X2" s="114" t="str">
        <f>IFERROR(INDEX(Расходка[Наименование расходного материала],MATCH(Расходка[[#This Row],[№]],Поиск_расходки[Индекс7],0)),"")</f>
        <v>Hunter® 6F</v>
      </c>
      <c r="Y2" s="114" t="str">
        <f>IFERROR(INDEX(Расходка[Наименование расходного материала],MATCH(Расходка[[#This Row],[№]],Поиск_расходки[Индекс8],0)),"")</f>
        <v>Hunter® 6F</v>
      </c>
      <c r="Z2" s="114" t="str">
        <f>IFERROR(INDEX(Расходка[Наименование расходного материала],MATCH(Расходка[[#This Row],[№]],Поиск_расходки[Индекс9],0)),"")</f>
        <v>Hunter® 6F</v>
      </c>
      <c r="AA2" s="114" t="str">
        <f>IFERROR(INDEX(Расходка[Наименование расходного материала],MATCH(Расходка[[#This Row],[№]],Поиск_расходки[Индекс10],0)),"")</f>
        <v>Hunter® 6F</v>
      </c>
      <c r="AB2" s="114" t="str">
        <f>IFERROR(INDEX(Расходка[Наименование расходного материала],MATCH(Расходка[[#This Row],[№]],Поиск_расходки[Индекс11],0)),"")</f>
        <v>Hunter® 6F</v>
      </c>
      <c r="AC2" s="114" t="str">
        <f>IFERROR(INDEX(Расходка[Наименование расходного материала],MATCH(Расходка[[#This Row],[№]],Поиск_расходки[Индекс12],0)),"")</f>
        <v>Hunter® 6F</v>
      </c>
      <c r="AD2" s="114"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204">
        <v>155800</v>
      </c>
      <c r="AN2" s="205" t="s">
        <v>308</v>
      </c>
      <c r="AO2" s="206"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0</v>
      </c>
      <c r="H3" s="115">
        <f>IF(ISNUMBER(SEARCH('Карта учёта'!$B$16,Расходка[[#This Row],[Наименование расходного материала]])),MAX($H$1:H2)+1,0)</f>
        <v>0</v>
      </c>
      <c r="I3" s="115">
        <f>IF(ISNUMBER(SEARCH('Карта учёта'!$B$17,Расходка[[#This Row],[Наименование расходного материала]])),MAX($I$1:I2)+1,0)</f>
        <v>0</v>
      </c>
      <c r="J3" s="115">
        <f>IF(ISNUMBER(SEARCH('Карта учёта'!$B$18,Расходка[[#This Row],[Наименование расходного материала]])),MAX($J$1:J2)+1,0)</f>
        <v>0</v>
      </c>
      <c r="K3" s="115">
        <f>IF(ISNUMBER(SEARCH('Карта учёта'!$B$19,Расходка[[#This Row],[Наименование расходного материала]])),MAX($K$1:K2)+1,0)</f>
        <v>2</v>
      </c>
      <c r="L3" s="115">
        <f>IF(ISNUMBER(SEARCH('Карта учёта'!$B$20,Расходка[[#This Row],[Наименование расходного материала]])),MAX($L$1:L2)+1,0)</f>
        <v>2</v>
      </c>
      <c r="M3" s="115">
        <f>IF(ISNUMBER(SEARCH('Карта учёта'!$B$21,Расходка[[#This Row],[Наименование расходного материала]])),MAX($M$1:M2)+1,0)</f>
        <v>2</v>
      </c>
      <c r="N3" s="115">
        <f>IF(ISNUMBER(SEARCH('Карта учёта'!$B$22,Расходка[[#This Row],[Наименование расходного материала]])),MAX($N$1:N2)+1,0)</f>
        <v>2</v>
      </c>
      <c r="O3" s="115">
        <f>IF(ISNUMBER(SEARCH('Карта учёта'!$B$23,Расходка[[#This Row],[Наименование расходного материала]])),MAX($O$1:O2)+1,0)</f>
        <v>2</v>
      </c>
      <c r="P3" s="115">
        <f>IF(ISNUMBER(SEARCH('Карта учёта'!$B$24,Расходка[[#This Row],[Наименование расходного материала]])),MAX($P$1:P2)+1,0)</f>
        <v>2</v>
      </c>
      <c r="Q3" s="115">
        <f>IF(ISNUMBER(SEARCH('Карта учёта'!$B$25,Расходка[[#This Row],[Наименование расходного материала]])),MAX($Q$1:Q2)+1,0)</f>
        <v>2</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
      </c>
      <c r="U3" s="114" t="str">
        <f>IFERROR(INDEX(Расходка[Наименование расходного материала],MATCH(Расходка[[#This Row],[№]],Поиск_расходки[Индекс4],0)),"")</f>
        <v/>
      </c>
      <c r="V3" s="114" t="str">
        <f>IFERROR(INDEX(Расходка[Наименование расходного материала],MATCH(Расходка[[#This Row],[№]],Поиск_расходки[Индекс5],0)),"")</f>
        <v/>
      </c>
      <c r="W3" s="114" t="str">
        <f>IFERROR(INDEX(Расходка[Наименование расходного материала],MATCH(Расходка[[#This Row],[№]],Поиск_расходки[Индекс6],0)),"")</f>
        <v/>
      </c>
      <c r="X3" s="114" t="str">
        <f>IFERROR(INDEX(Расходка[Наименование расходного материала],MATCH(Расходка[[#This Row],[№]],Поиск_расходки[Индекс7],0)),"")</f>
        <v xml:space="preserve">Medtronic Export Advance </v>
      </c>
      <c r="Y3" s="114" t="str">
        <f>IFERROR(INDEX(Расходка[Наименование расходного материала],MATCH(Расходка[[#This Row],[№]],Поиск_расходки[Индекс8],0)),"")</f>
        <v xml:space="preserve">Medtronic Export Advance </v>
      </c>
      <c r="Z3" s="114" t="str">
        <f>IFERROR(INDEX(Расходка[Наименование расходного материала],MATCH(Расходка[[#This Row],[№]],Поиск_расходки[Индекс9],0)),"")</f>
        <v xml:space="preserve">Medtronic Export Advance </v>
      </c>
      <c r="AA3" s="114" t="str">
        <f>IFERROR(INDEX(Расходка[Наименование расходного материала],MATCH(Расходка[[#This Row],[№]],Поиск_расходки[Индекс10],0)),"")</f>
        <v xml:space="preserve">Medtronic Export Advance </v>
      </c>
      <c r="AB3" s="114" t="str">
        <f>IFERROR(INDEX(Расходка[Наименование расходного материала],MATCH(Расходка[[#This Row],[№]],Поиск_расходки[Индекс11],0)),"")</f>
        <v xml:space="preserve">Medtronic Export Advance </v>
      </c>
      <c r="AC3" s="114" t="str">
        <f>IFERROR(INDEX(Расходка[Наименование расходного материала],MATCH(Расходка[[#This Row],[№]],Поиск_расходки[Индекс12],0)),"")</f>
        <v xml:space="preserve">Medtronic Export Advance </v>
      </c>
      <c r="AD3" s="114"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86">
        <v>218190</v>
      </c>
      <c r="AN3" s="2" t="s">
        <v>487</v>
      </c>
      <c r="AO3" t="s">
        <v>495</v>
      </c>
      <c r="AP3" s="128"/>
    </row>
    <row r="4" spans="1:42">
      <c r="A4">
        <f>ROW(Расходка[[#This Row],[Тип расходного материала ]])-1</f>
        <v>3</v>
      </c>
      <c r="B4" t="s">
        <v>5</v>
      </c>
      <c r="C4" s="1" t="s">
        <v>277</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0</v>
      </c>
      <c r="H4" s="115">
        <f>IF(ISNUMBER(SEARCH('Карта учёта'!$B$16,Расходка[[#This Row],[Наименование расходного материала]])),MAX($H$1:H3)+1,0)</f>
        <v>0</v>
      </c>
      <c r="I4" s="115">
        <f>IF(ISNUMBER(SEARCH('Карта учёта'!$B$17,Расходка[[#This Row],[Наименование расходного материала]])),MAX($I$1:I3)+1,0)</f>
        <v>0</v>
      </c>
      <c r="J4" s="115">
        <f>IF(ISNUMBER(SEARCH('Карта учёта'!$B$18,Расходка[[#This Row],[Наименование расходного материала]])),MAX($J$1:J3)+1,0)</f>
        <v>0</v>
      </c>
      <c r="K4" s="115">
        <f>IF(ISNUMBER(SEARCH('Карта учёта'!$B$19,Расходка[[#This Row],[Наименование расходного материала]])),MAX($K$1:K3)+1,0)</f>
        <v>3</v>
      </c>
      <c r="L4" s="115">
        <f>IF(ISNUMBER(SEARCH('Карта учёта'!$B$20,Расходка[[#This Row],[Наименование расходного материала]])),MAX($L$1:L3)+1,0)</f>
        <v>3</v>
      </c>
      <c r="M4" s="115">
        <f>IF(ISNUMBER(SEARCH('Карта учёта'!$B$21,Расходка[[#This Row],[Наименование расходного материала]])),MAX($M$1:M3)+1,0)</f>
        <v>3</v>
      </c>
      <c r="N4" s="115">
        <f>IF(ISNUMBER(SEARCH('Карта учёта'!$B$22,Расходка[[#This Row],[Наименование расходного материала]])),MAX($N$1:N3)+1,0)</f>
        <v>3</v>
      </c>
      <c r="O4" s="115">
        <f>IF(ISNUMBER(SEARCH('Карта учёта'!$B$23,Расходка[[#This Row],[Наименование расходного материала]])),MAX($O$1:O3)+1,0)</f>
        <v>3</v>
      </c>
      <c r="P4" s="115">
        <f>IF(ISNUMBER(SEARCH('Карта учёта'!$B$24,Расходка[[#This Row],[Наименование расходного материала]])),MAX($P$1:P3)+1,0)</f>
        <v>3</v>
      </c>
      <c r="Q4" s="115">
        <f>IF(ISNUMBER(SEARCH('Карта учёта'!$B$25,Расходка[[#This Row],[Наименование расходного материала]])),MAX($Q$1:Q3)+1,0)</f>
        <v>3</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
      </c>
      <c r="U4" s="114" t="str">
        <f>IFERROR(INDEX(Расходка[Наименование расходного материала],MATCH(Расходка[[#This Row],[№]],Поиск_расходки[Индекс4],0)),"")</f>
        <v/>
      </c>
      <c r="V4" s="114" t="str">
        <f>IFERROR(INDEX(Расходка[Наименование расходного материала],MATCH(Расходка[[#This Row],[№]],Поиск_расходки[Индекс5],0)),"")</f>
        <v/>
      </c>
      <c r="W4" s="114" t="str">
        <f>IFERROR(INDEX(Расходка[Наименование расходного материала],MATCH(Расходка[[#This Row],[№]],Поиск_расходки[Индекс6],0)),"")</f>
        <v/>
      </c>
      <c r="X4" s="114" t="str">
        <f>IFERROR(INDEX(Расходка[Наименование расходного материала],MATCH(Расходка[[#This Row],[№]],Поиск_расходки[Индекс7],0)),"")</f>
        <v>Euphora</v>
      </c>
      <c r="Y4" s="114" t="str">
        <f>IFERROR(INDEX(Расходка[Наименование расходного материала],MATCH(Расходка[[#This Row],[№]],Поиск_расходки[Индекс8],0)),"")</f>
        <v>Euphora</v>
      </c>
      <c r="Z4" s="114" t="str">
        <f>IFERROR(INDEX(Расходка[Наименование расходного материала],MATCH(Расходка[[#This Row],[№]],Поиск_расходки[Индекс9],0)),"")</f>
        <v>Euphora</v>
      </c>
      <c r="AA4" s="114" t="str">
        <f>IFERROR(INDEX(Расходка[Наименование расходного материала],MATCH(Расходка[[#This Row],[№]],Поиск_расходки[Индекс10],0)),"")</f>
        <v>Euphora</v>
      </c>
      <c r="AB4" s="114" t="str">
        <f>IFERROR(INDEX(Расходка[Наименование расходного материала],MATCH(Расходка[[#This Row],[№]],Поиск_расходки[Индекс11],0)),"")</f>
        <v>Euphora</v>
      </c>
      <c r="AC4" s="114" t="str">
        <f>IFERROR(INDEX(Расходка[Наименование расходного материала],MATCH(Расходка[[#This Row],[№]],Поиск_расходки[Индекс12],0)),"")</f>
        <v>Euphora</v>
      </c>
      <c r="AD4" s="114" t="str">
        <f>IFERROR(INDEX(Расходка[Наименование расходного материала],MATCH(Расходка[[#This Row],[№]],Поиск_расходки[Индекс13],0)),"")</f>
        <v>Euphora</v>
      </c>
      <c r="AF4" s="4" t="s">
        <v>5</v>
      </c>
      <c r="AG4" s="4" t="s">
        <v>402</v>
      </c>
      <c r="AI4" t="s">
        <v>190</v>
      </c>
      <c r="AJ4" t="s">
        <v>201</v>
      </c>
      <c r="AK4" t="str">
        <f t="shared" si="0"/>
        <v>Контраст: Оптирей 350</v>
      </c>
      <c r="AM4" s="186">
        <v>337440</v>
      </c>
      <c r="AN4" s="2" t="s">
        <v>500</v>
      </c>
      <c r="AO4" t="s">
        <v>497</v>
      </c>
      <c r="AP4" s="128"/>
    </row>
    <row r="5" spans="1:42">
      <c r="A5">
        <f>ROW(Расходка[[#This Row],[Тип расходного материала ]])-1</f>
        <v>4</v>
      </c>
      <c r="B5" t="s">
        <v>5</v>
      </c>
      <c r="C5" t="s">
        <v>311</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0</v>
      </c>
      <c r="H5" s="115">
        <f>IF(ISNUMBER(SEARCH('Карта учёта'!$B$16,Расходка[[#This Row],[Наименование расходного материала]])),MAX($H$1:H4)+1,0)</f>
        <v>0</v>
      </c>
      <c r="I5" s="115">
        <f>IF(ISNUMBER(SEARCH('Карта учёта'!$B$17,Расходка[[#This Row],[Наименование расходного материала]])),MAX($I$1:I4)+1,0)</f>
        <v>0</v>
      </c>
      <c r="J5" s="115">
        <f>IF(ISNUMBER(SEARCH('Карта учёта'!$B$18,Расходка[[#This Row],[Наименование расходного материала]])),MAX($J$1:J4)+1,0)</f>
        <v>0</v>
      </c>
      <c r="K5" s="115">
        <f>IF(ISNUMBER(SEARCH('Карта учёта'!$B$19,Расходка[[#This Row],[Наименование расходного материала]])),MAX($K$1:K4)+1,0)</f>
        <v>4</v>
      </c>
      <c r="L5" s="115">
        <f>IF(ISNUMBER(SEARCH('Карта учёта'!$B$20,Расходка[[#This Row],[Наименование расходного материала]])),MAX($L$1:L4)+1,0)</f>
        <v>4</v>
      </c>
      <c r="M5" s="115">
        <f>IF(ISNUMBER(SEARCH('Карта учёта'!$B$21,Расходка[[#This Row],[Наименование расходного материала]])),MAX($M$1:M4)+1,0)</f>
        <v>4</v>
      </c>
      <c r="N5" s="115">
        <f>IF(ISNUMBER(SEARCH('Карта учёта'!$B$22,Расходка[[#This Row],[Наименование расходного материала]])),MAX($N$1:N4)+1,0)</f>
        <v>4</v>
      </c>
      <c r="O5" s="115">
        <f>IF(ISNUMBER(SEARCH('Карта учёта'!$B$23,Расходка[[#This Row],[Наименование расходного материала]])),MAX($O$1:O4)+1,0)</f>
        <v>4</v>
      </c>
      <c r="P5" s="115">
        <f>IF(ISNUMBER(SEARCH('Карта учёта'!$B$24,Расходка[[#This Row],[Наименование расходного материала]])),MAX($P$1:P4)+1,0)</f>
        <v>4</v>
      </c>
      <c r="Q5" s="115">
        <f>IF(ISNUMBER(SEARCH('Карта учёта'!$B$25,Расходка[[#This Row],[Наименование расходного материала]])),MAX($Q$1:Q4)+1,0)</f>
        <v>4</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
      </c>
      <c r="U5" s="114" t="str">
        <f>IFERROR(INDEX(Расходка[Наименование расходного материала],MATCH(Расходка[[#This Row],[№]],Поиск_расходки[Индекс4],0)),"")</f>
        <v/>
      </c>
      <c r="V5" s="114" t="str">
        <f>IFERROR(INDEX(Расходка[Наименование расходного материала],MATCH(Расходка[[#This Row],[№]],Поиск_расходки[Индекс5],0)),"")</f>
        <v/>
      </c>
      <c r="W5" s="114" t="str">
        <f>IFERROR(INDEX(Расходка[Наименование расходного материала],MATCH(Расходка[[#This Row],[№]],Поиск_расходки[Индекс6],0)),"")</f>
        <v/>
      </c>
      <c r="X5" s="114" t="str">
        <f>IFERROR(INDEX(Расходка[Наименование расходного материала],MATCH(Расходка[[#This Row],[№]],Поиск_расходки[Индекс7],0)),"")</f>
        <v>NC Accuforce</v>
      </c>
      <c r="Y5" s="114" t="str">
        <f>IFERROR(INDEX(Расходка[Наименование расходного материала],MATCH(Расходка[[#This Row],[№]],Поиск_расходки[Индекс8],0)),"")</f>
        <v>NC Accuforce</v>
      </c>
      <c r="Z5" s="114" t="str">
        <f>IFERROR(INDEX(Расходка[Наименование расходного материала],MATCH(Расходка[[#This Row],[№]],Поиск_расходки[Индекс9],0)),"")</f>
        <v>NC Accuforce</v>
      </c>
      <c r="AA5" s="114" t="str">
        <f>IFERROR(INDEX(Расходка[Наименование расходного материала],MATCH(Расходка[[#This Row],[№]],Поиск_расходки[Индекс10],0)),"")</f>
        <v>NC Accuforce</v>
      </c>
      <c r="AB5" s="114" t="str">
        <f>IFERROR(INDEX(Расходка[Наименование расходного материала],MATCH(Расходка[[#This Row],[№]],Поиск_расходки[Индекс11],0)),"")</f>
        <v>NC Accuforce</v>
      </c>
      <c r="AC5" s="114" t="str">
        <f>IFERROR(INDEX(Расходка[Наименование расходного материала],MATCH(Расходка[[#This Row],[№]],Поиск_расходки[Индекс12],0)),"")</f>
        <v>NC Accuforce</v>
      </c>
      <c r="AD5" s="114" t="str">
        <f>IFERROR(INDEX(Расходка[Наименование расходного материала],MATCH(Расходка[[#This Row],[№]],Поиск_расходки[Индекс13],0)),"")</f>
        <v>NC Accuforce</v>
      </c>
      <c r="AF5" s="4" t="s">
        <v>5</v>
      </c>
      <c r="AG5" s="4" t="s">
        <v>403</v>
      </c>
      <c r="AI5" t="s">
        <v>190</v>
      </c>
      <c r="AJ5" t="s">
        <v>202</v>
      </c>
      <c r="AK5" t="str">
        <f t="shared" si="0"/>
        <v>Контраст: Юнигексол 350</v>
      </c>
      <c r="AM5" s="204">
        <v>136170</v>
      </c>
      <c r="AN5" s="205"/>
      <c r="AO5" s="206" t="s">
        <v>496</v>
      </c>
    </row>
    <row r="6" spans="1:42">
      <c r="A6">
        <f>ROW(Расходка[[#This Row],[Тип расходного материала ]])-1</f>
        <v>5</v>
      </c>
      <c r="B6" t="s">
        <v>5</v>
      </c>
      <c r="C6" s="1" t="s">
        <v>306</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0</v>
      </c>
      <c r="H6" s="115">
        <f>IF(ISNUMBER(SEARCH('Карта учёта'!$B$16,Расходка[[#This Row],[Наименование расходного материала]])),MAX($H$1:H5)+1,0)</f>
        <v>0</v>
      </c>
      <c r="I6" s="115">
        <f>IF(ISNUMBER(SEARCH('Карта учёта'!$B$17,Расходка[[#This Row],[Наименование расходного материала]])),MAX($I$1:I5)+1,0)</f>
        <v>0</v>
      </c>
      <c r="J6" s="115">
        <f>IF(ISNUMBER(SEARCH('Карта учёта'!$B$18,Расходка[[#This Row],[Наименование расходного материала]])),MAX($J$1:J5)+1,0)</f>
        <v>0</v>
      </c>
      <c r="K6" s="115">
        <f>IF(ISNUMBER(SEARCH('Карта учёта'!$B$19,Расходка[[#This Row],[Наименование расходного материала]])),MAX($K$1:K5)+1,0)</f>
        <v>5</v>
      </c>
      <c r="L6" s="115">
        <f>IF(ISNUMBER(SEARCH('Карта учёта'!$B$20,Расходка[[#This Row],[Наименование расходного материала]])),MAX($L$1:L5)+1,0)</f>
        <v>5</v>
      </c>
      <c r="M6" s="115">
        <f>IF(ISNUMBER(SEARCH('Карта учёта'!$B$21,Расходка[[#This Row],[Наименование расходного материала]])),MAX($M$1:M5)+1,0)</f>
        <v>5</v>
      </c>
      <c r="N6" s="115">
        <f>IF(ISNUMBER(SEARCH('Карта учёта'!$B$22,Расходка[[#This Row],[Наименование расходного материала]])),MAX($N$1:N5)+1,0)</f>
        <v>5</v>
      </c>
      <c r="O6" s="115">
        <f>IF(ISNUMBER(SEARCH('Карта учёта'!$B$23,Расходка[[#This Row],[Наименование расходного материала]])),MAX($O$1:O5)+1,0)</f>
        <v>5</v>
      </c>
      <c r="P6" s="115">
        <f>IF(ISNUMBER(SEARCH('Карта учёта'!$B$24,Расходка[[#This Row],[Наименование расходного материала]])),MAX($P$1:P5)+1,0)</f>
        <v>5</v>
      </c>
      <c r="Q6" s="115">
        <f>IF(ISNUMBER(SEARCH('Карта учёта'!$B$25,Расходка[[#This Row],[Наименование расходного материала]])),MAX($Q$1:Q5)+1,0)</f>
        <v>5</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
      </c>
      <c r="U6" s="114" t="str">
        <f>IFERROR(INDEX(Расходка[Наименование расходного материала],MATCH(Расходка[[#This Row],[№]],Поиск_расходки[Индекс4],0)),"")</f>
        <v/>
      </c>
      <c r="V6" s="114" t="str">
        <f>IFERROR(INDEX(Расходка[Наименование расходного материала],MATCH(Расходка[[#This Row],[№]],Поиск_расходки[Индекс5],0)),"")</f>
        <v/>
      </c>
      <c r="W6" s="114" t="str">
        <f>IFERROR(INDEX(Расходка[Наименование расходного материала],MATCH(Расходка[[#This Row],[№]],Поиск_расходки[Индекс6],0)),"")</f>
        <v/>
      </c>
      <c r="X6" s="114" t="str">
        <f>IFERROR(INDEX(Расходка[Наименование расходного материала],MATCH(Расходка[[#This Row],[№]],Поиск_расходки[Индекс7],0)),"")</f>
        <v>NC Euphora</v>
      </c>
      <c r="Y6" s="114" t="str">
        <f>IFERROR(INDEX(Расходка[Наименование расходного материала],MATCH(Расходка[[#This Row],[№]],Поиск_расходки[Индекс8],0)),"")</f>
        <v>NC Euphora</v>
      </c>
      <c r="Z6" s="114" t="str">
        <f>IFERROR(INDEX(Расходка[Наименование расходного материала],MATCH(Расходка[[#This Row],[№]],Поиск_расходки[Индекс9],0)),"")</f>
        <v>NC Euphora</v>
      </c>
      <c r="AA6" s="114" t="str">
        <f>IFERROR(INDEX(Расходка[Наименование расходного материала],MATCH(Расходка[[#This Row],[№]],Поиск_расходки[Индекс10],0)),"")</f>
        <v>NC Euphora</v>
      </c>
      <c r="AB6" s="114" t="str">
        <f>IFERROR(INDEX(Расходка[Наименование расходного материала],MATCH(Расходка[[#This Row],[№]],Поиск_расходки[Индекс11],0)),"")</f>
        <v>NC Euphora</v>
      </c>
      <c r="AC6" s="114" t="str">
        <f>IFERROR(INDEX(Расходка[Наименование расходного материала],MATCH(Расходка[[#This Row],[№]],Поиск_расходки[Индекс12],0)),"")</f>
        <v>NC Euphora</v>
      </c>
      <c r="AD6" s="114" t="str">
        <f>IFERROR(INDEX(Расходка[Наименование расходного материала],MATCH(Расходка[[#This Row],[№]],Поиск_расходки[Индекс13],0)),"")</f>
        <v>NC Euphora</v>
      </c>
      <c r="AF6" s="4" t="s">
        <v>5</v>
      </c>
      <c r="AG6" s="4" t="s">
        <v>404</v>
      </c>
      <c r="AI6" t="s">
        <v>190</v>
      </c>
      <c r="AJ6" t="s">
        <v>203</v>
      </c>
      <c r="AK6" t="str">
        <f t="shared" si="0"/>
        <v>Контраст: Сканлюкс 370</v>
      </c>
      <c r="AM6" s="186">
        <v>135820</v>
      </c>
      <c r="AN6" s="2"/>
      <c r="AO6" t="s">
        <v>499</v>
      </c>
    </row>
    <row r="7" spans="1:42">
      <c r="A7">
        <f>ROW(Расходка[[#This Row],[Тип расходного материала ]])-1</f>
        <v>6</v>
      </c>
      <c r="B7" t="s">
        <v>5</v>
      </c>
      <c r="C7" t="s">
        <v>276</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0</v>
      </c>
      <c r="H7" s="115">
        <f>IF(ISNUMBER(SEARCH('Карта учёта'!$B$16,Расходка[[#This Row],[Наименование расходного материала]])),MAX($H$1:H6)+1,0)</f>
        <v>0</v>
      </c>
      <c r="I7" s="115">
        <f>IF(ISNUMBER(SEARCH('Карта учёта'!$B$17,Расходка[[#This Row],[Наименование расходного материала]])),MAX($I$1:I6)+1,0)</f>
        <v>0</v>
      </c>
      <c r="J7" s="115">
        <f>IF(ISNUMBER(SEARCH('Карта учёта'!$B$18,Расходка[[#This Row],[Наименование расходного материала]])),MAX($J$1:J6)+1,0)</f>
        <v>0</v>
      </c>
      <c r="K7" s="115">
        <f>IF(ISNUMBER(SEARCH('Карта учёта'!$B$19,Расходка[[#This Row],[Наименование расходного материала]])),MAX($K$1:K6)+1,0)</f>
        <v>6</v>
      </c>
      <c r="L7" s="115">
        <f>IF(ISNUMBER(SEARCH('Карта учёта'!$B$20,Расходка[[#This Row],[Наименование расходного материала]])),MAX($L$1:L6)+1,0)</f>
        <v>6</v>
      </c>
      <c r="M7" s="115">
        <f>IF(ISNUMBER(SEARCH('Карта учёта'!$B$21,Расходка[[#This Row],[Наименование расходного материала]])),MAX($M$1:M6)+1,0)</f>
        <v>6</v>
      </c>
      <c r="N7" s="115">
        <f>IF(ISNUMBER(SEARCH('Карта учёта'!$B$22,Расходка[[#This Row],[Наименование расходного материала]])),MAX($N$1:N6)+1,0)</f>
        <v>6</v>
      </c>
      <c r="O7" s="115">
        <f>IF(ISNUMBER(SEARCH('Карта учёта'!$B$23,Расходка[[#This Row],[Наименование расходного материала]])),MAX($O$1:O6)+1,0)</f>
        <v>6</v>
      </c>
      <c r="P7" s="115">
        <f>IF(ISNUMBER(SEARCH('Карта учёта'!$B$24,Расходка[[#This Row],[Наименование расходного материала]])),MAX($P$1:P6)+1,0)</f>
        <v>6</v>
      </c>
      <c r="Q7" s="115">
        <f>IF(ISNUMBER(SEARCH('Карта учёта'!$B$25,Расходка[[#This Row],[Наименование расходного материала]])),MAX($Q$1:Q6)+1,0)</f>
        <v>6</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
      </c>
      <c r="U7" s="114" t="str">
        <f>IFERROR(INDEX(Расходка[Наименование расходного материала],MATCH(Расходка[[#This Row],[№]],Поиск_расходки[Индекс4],0)),"")</f>
        <v/>
      </c>
      <c r="V7" s="114" t="str">
        <f>IFERROR(INDEX(Расходка[Наименование расходного материала],MATCH(Расходка[[#This Row],[№]],Поиск_расходки[Индекс5],0)),"")</f>
        <v/>
      </c>
      <c r="W7" s="114" t="str">
        <f>IFERROR(INDEX(Расходка[Наименование расходного материала],MATCH(Расходка[[#This Row],[№]],Поиск_расходки[Индекс6],0)),"")</f>
        <v/>
      </c>
      <c r="X7" s="114" t="str">
        <f>IFERROR(INDEX(Расходка[Наименование расходного материала],MATCH(Расходка[[#This Row],[№]],Поиск_расходки[Индекс7],0)),"")</f>
        <v>Sapphire</v>
      </c>
      <c r="Y7" s="114" t="str">
        <f>IFERROR(INDEX(Расходка[Наименование расходного материала],MATCH(Расходка[[#This Row],[№]],Поиск_расходки[Индекс8],0)),"")</f>
        <v>Sapphire</v>
      </c>
      <c r="Z7" s="114" t="str">
        <f>IFERROR(INDEX(Расходка[Наименование расходного материала],MATCH(Расходка[[#This Row],[№]],Поиск_расходки[Индекс9],0)),"")</f>
        <v>Sapphire</v>
      </c>
      <c r="AA7" s="114" t="str">
        <f>IFERROR(INDEX(Расходка[Наименование расходного материала],MATCH(Расходка[[#This Row],[№]],Поиск_расходки[Индекс10],0)),"")</f>
        <v>Sapphire</v>
      </c>
      <c r="AB7" s="114" t="str">
        <f>IFERROR(INDEX(Расходка[Наименование расходного материала],MATCH(Расходка[[#This Row],[№]],Поиск_расходки[Индекс11],0)),"")</f>
        <v>Sapphire</v>
      </c>
      <c r="AC7" s="114" t="str">
        <f>IFERROR(INDEX(Расходка[Наименование расходного материала],MATCH(Расходка[[#This Row],[№]],Поиск_расходки[Индекс12],0)),"")</f>
        <v>Sapphire</v>
      </c>
      <c r="AD7" s="114" t="str">
        <f>IFERROR(INDEX(Расходка[Наименование расходного материала],MATCH(Расходка[[#This Row],[№]],Поиск_расходки[Индекс13],0)),"")</f>
        <v>Sapphire</v>
      </c>
      <c r="AF7" s="4" t="s">
        <v>5</v>
      </c>
      <c r="AG7" s="4" t="s">
        <v>405</v>
      </c>
      <c r="AI7" t="s">
        <v>190</v>
      </c>
      <c r="AJ7" t="s">
        <v>204</v>
      </c>
      <c r="AK7" t="str">
        <f t="shared" ref="AK7:AK8" si="1">CONCATENATE(AI7,AJ7)</f>
        <v>Контраст: Йогексол 350</v>
      </c>
      <c r="AM7" s="204">
        <v>155760</v>
      </c>
      <c r="AN7" s="205"/>
      <c r="AO7" s="206" t="s">
        <v>493</v>
      </c>
    </row>
    <row r="8" spans="1:42">
      <c r="A8">
        <f>ROW(Расходка[[#This Row],[Тип расходного материала ]])-1</f>
        <v>7</v>
      </c>
      <c r="B8" t="s">
        <v>5</v>
      </c>
      <c r="C8" t="s">
        <v>312</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0</v>
      </c>
      <c r="H8" s="115">
        <f>IF(ISNUMBER(SEARCH('Карта учёта'!$B$16,Расходка[[#This Row],[Наименование расходного материала]])),MAX($H$1:H7)+1,0)</f>
        <v>0</v>
      </c>
      <c r="I8" s="115">
        <f>IF(ISNUMBER(SEARCH('Карта учёта'!$B$17,Расходка[[#This Row],[Наименование расходного материала]])),MAX($I$1:I7)+1,0)</f>
        <v>0</v>
      </c>
      <c r="J8" s="115">
        <f>IF(ISNUMBER(SEARCH('Карта учёта'!$B$18,Расходка[[#This Row],[Наименование расходного материала]])),MAX($J$1:J7)+1,0)</f>
        <v>0</v>
      </c>
      <c r="K8" s="115">
        <f>IF(ISNUMBER(SEARCH('Карта учёта'!$B$19,Расходка[[#This Row],[Наименование расходного материала]])),MAX($K$1:K7)+1,0)</f>
        <v>7</v>
      </c>
      <c r="L8" s="115">
        <f>IF(ISNUMBER(SEARCH('Карта учёта'!$B$20,Расходка[[#This Row],[Наименование расходного материала]])),MAX($L$1:L7)+1,0)</f>
        <v>7</v>
      </c>
      <c r="M8" s="115">
        <f>IF(ISNUMBER(SEARCH('Карта учёта'!$B$21,Расходка[[#This Row],[Наименование расходного материала]])),MAX($M$1:M7)+1,0)</f>
        <v>7</v>
      </c>
      <c r="N8" s="115">
        <f>IF(ISNUMBER(SEARCH('Карта учёта'!$B$22,Расходка[[#This Row],[Наименование расходного материала]])),MAX($N$1:N7)+1,0)</f>
        <v>7</v>
      </c>
      <c r="O8" s="115">
        <f>IF(ISNUMBER(SEARCH('Карта учёта'!$B$23,Расходка[[#This Row],[Наименование расходного материала]])),MAX($O$1:O7)+1,0)</f>
        <v>7</v>
      </c>
      <c r="P8" s="115">
        <f>IF(ISNUMBER(SEARCH('Карта учёта'!$B$24,Расходка[[#This Row],[Наименование расходного материала]])),MAX($P$1:P7)+1,0)</f>
        <v>7</v>
      </c>
      <c r="Q8" s="115">
        <f>IF(ISNUMBER(SEARCH('Карта учёта'!$B$25,Расходка[[#This Row],[Наименование расходного материала]])),MAX($Q$1:Q7)+1,0)</f>
        <v>7</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
      </c>
      <c r="U8" s="114" t="str">
        <f>IFERROR(INDEX(Расходка[Наименование расходного материала],MATCH(Расходка[[#This Row],[№]],Поиск_расходки[Индекс4],0)),"")</f>
        <v/>
      </c>
      <c r="V8" s="114" t="str">
        <f>IFERROR(INDEX(Расходка[Наименование расходного материала],MATCH(Расходка[[#This Row],[№]],Поиск_расходки[Индекс5],0)),"")</f>
        <v/>
      </c>
      <c r="W8" s="114" t="str">
        <f>IFERROR(INDEX(Расходка[Наименование расходного материала],MATCH(Расходка[[#This Row],[№]],Поиск_расходки[Индекс6],0)),"")</f>
        <v/>
      </c>
      <c r="X8" s="114" t="str">
        <f>IFERROR(INDEX(Расходка[Наименование расходного материала],MATCH(Расходка[[#This Row],[№]],Поиск_расходки[Индекс7],0)),"")</f>
        <v>Sprinter Legend</v>
      </c>
      <c r="Y8" s="114" t="str">
        <f>IFERROR(INDEX(Расходка[Наименование расходного материала],MATCH(Расходка[[#This Row],[№]],Поиск_расходки[Индекс8],0)),"")</f>
        <v>Sprinter Legend</v>
      </c>
      <c r="Z8" s="114" t="str">
        <f>IFERROR(INDEX(Расходка[Наименование расходного материала],MATCH(Расходка[[#This Row],[№]],Поиск_расходки[Индекс9],0)),"")</f>
        <v>Sprinter Legend</v>
      </c>
      <c r="AA8" s="114" t="str">
        <f>IFERROR(INDEX(Расходка[Наименование расходного материала],MATCH(Расходка[[#This Row],[№]],Поиск_расходки[Индекс10],0)),"")</f>
        <v>Sprinter Legend</v>
      </c>
      <c r="AB8" s="114" t="str">
        <f>IFERROR(INDEX(Расходка[Наименование расходного материала],MATCH(Расходка[[#This Row],[№]],Поиск_расходки[Индекс11],0)),"")</f>
        <v>Sprinter Legend</v>
      </c>
      <c r="AC8" s="114" t="str">
        <f>IFERROR(INDEX(Расходка[Наименование расходного материала],MATCH(Расходка[[#This Row],[№]],Поиск_расходки[Индекс12],0)),"")</f>
        <v>Sprinter Legend</v>
      </c>
      <c r="AD8" s="114" t="str">
        <f>IFERROR(INDEX(Расходка[Наименование расходного материала],MATCH(Расходка[[#This Row],[№]],Поиск_расходки[Индекс13],0)),"")</f>
        <v>Sprinter Legend</v>
      </c>
      <c r="AF8" s="4" t="s">
        <v>5</v>
      </c>
      <c r="AG8" s="4" t="s">
        <v>406</v>
      </c>
      <c r="AI8" t="s">
        <v>190</v>
      </c>
      <c r="AJ8" t="s">
        <v>205</v>
      </c>
      <c r="AK8" t="str">
        <f t="shared" si="1"/>
        <v>Контраст: Визипак 320</v>
      </c>
      <c r="AM8" s="186">
        <v>218140</v>
      </c>
      <c r="AN8" s="2"/>
      <c r="AO8" t="s">
        <v>89</v>
      </c>
    </row>
    <row r="9" spans="1:42">
      <c r="A9">
        <f>ROW(Расходка[[#This Row],[Тип расходного материала ]])-1</f>
        <v>8</v>
      </c>
      <c r="B9" t="s">
        <v>5</v>
      </c>
      <c r="C9" t="s">
        <v>357</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0</v>
      </c>
      <c r="H9" s="115">
        <f>IF(ISNUMBER(SEARCH('Карта учёта'!$B$16,Расходка[[#This Row],[Наименование расходного материала]])),MAX($H$1:H8)+1,0)</f>
        <v>0</v>
      </c>
      <c r="I9" s="115">
        <f>IF(ISNUMBER(SEARCH('Карта учёта'!$B$17,Расходка[[#This Row],[Наименование расходного материала]])),MAX($I$1:I8)+1,0)</f>
        <v>0</v>
      </c>
      <c r="J9" s="115">
        <f>IF(ISNUMBER(SEARCH('Карта учёта'!$B$18,Расходка[[#This Row],[Наименование расходного материала]])),MAX($J$1:J8)+1,0)</f>
        <v>0</v>
      </c>
      <c r="K9" s="115">
        <f>IF(ISNUMBER(SEARCH('Карта учёта'!$B$19,Расходка[[#This Row],[Наименование расходного материала]])),MAX($K$1:K8)+1,0)</f>
        <v>8</v>
      </c>
      <c r="L9" s="115">
        <f>IF(ISNUMBER(SEARCH('Карта учёта'!$B$20,Расходка[[#This Row],[Наименование расходного материала]])),MAX($L$1:L8)+1,0)</f>
        <v>8</v>
      </c>
      <c r="M9" s="115">
        <f>IF(ISNUMBER(SEARCH('Карта учёта'!$B$21,Расходка[[#This Row],[Наименование расходного материала]])),MAX($M$1:M8)+1,0)</f>
        <v>8</v>
      </c>
      <c r="N9" s="115">
        <f>IF(ISNUMBER(SEARCH('Карта учёта'!$B$22,Расходка[[#This Row],[Наименование расходного материала]])),MAX($N$1:N8)+1,0)</f>
        <v>8</v>
      </c>
      <c r="O9" s="115">
        <f>IF(ISNUMBER(SEARCH('Карта учёта'!$B$23,Расходка[[#This Row],[Наименование расходного материала]])),MAX($O$1:O8)+1,0)</f>
        <v>8</v>
      </c>
      <c r="P9" s="115">
        <f>IF(ISNUMBER(SEARCH('Карта учёта'!$B$24,Расходка[[#This Row],[Наименование расходного материала]])),MAX($P$1:P8)+1,0)</f>
        <v>8</v>
      </c>
      <c r="Q9" s="115">
        <f>IF(ISNUMBER(SEARCH('Карта учёта'!$B$25,Расходка[[#This Row],[Наименование расходного материала]])),MAX($Q$1:Q8)+1,0)</f>
        <v>8</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
      </c>
      <c r="U9" s="114" t="str">
        <f>IFERROR(INDEX(Расходка[Наименование расходного материала],MATCH(Расходка[[#This Row],[№]],Поиск_расходки[Индекс4],0)),"")</f>
        <v/>
      </c>
      <c r="V9" s="114" t="str">
        <f>IFERROR(INDEX(Расходка[Наименование расходного материала],MATCH(Расходка[[#This Row],[№]],Поиск_расходки[Индекс5],0)),"")</f>
        <v/>
      </c>
      <c r="W9" s="114" t="str">
        <f>IFERROR(INDEX(Расходка[Наименование расходного материала],MATCH(Расходка[[#This Row],[№]],Поиск_расходки[Индекс6],0)),"")</f>
        <v/>
      </c>
      <c r="X9" s="114" t="str">
        <f>IFERROR(INDEX(Расходка[Наименование расходного материала],MATCH(Расходка[[#This Row],[№]],Поиск_расходки[Индекс7],0)),"")</f>
        <v>SubMarine Rapido, Invatec</v>
      </c>
      <c r="Y9" s="114" t="str">
        <f>IFERROR(INDEX(Расходка[Наименование расходного материала],MATCH(Расходка[[#This Row],[№]],Поиск_расходки[Индекс8],0)),"")</f>
        <v>SubMarine Rapido, Invatec</v>
      </c>
      <c r="Z9" s="114" t="str">
        <f>IFERROR(INDEX(Расходка[Наименование расходного материала],MATCH(Расходка[[#This Row],[№]],Поиск_расходки[Индекс9],0)),"")</f>
        <v>SubMarine Rapido, Invatec</v>
      </c>
      <c r="AA9" s="114" t="str">
        <f>IFERROR(INDEX(Расходка[Наименование расходного материала],MATCH(Расходка[[#This Row],[№]],Поиск_расходки[Индекс10],0)),"")</f>
        <v>SubMarine Rapido, Invatec</v>
      </c>
      <c r="AB9" s="114" t="str">
        <f>IFERROR(INDEX(Расходка[Наименование расходного материала],MATCH(Расходка[[#This Row],[№]],Поиск_расходки[Индекс11],0)),"")</f>
        <v>SubMarine Rapido, Invatec</v>
      </c>
      <c r="AC9" s="114" t="str">
        <f>IFERROR(INDEX(Расходка[Наименование расходного материала],MATCH(Расходка[[#This Row],[№]],Поиск_расходки[Индекс12],0)),"")</f>
        <v>SubMarine Rapido, Invatec</v>
      </c>
      <c r="AD9" s="114" t="str">
        <f>IFERROR(INDEX(Расходка[Наименование расходного материала],MATCH(Расходка[[#This Row],[№]],Поиск_расходки[Индекс13],0)),"")</f>
        <v>SubMarine Rapido, Invatec</v>
      </c>
      <c r="AF9" s="4" t="s">
        <v>5</v>
      </c>
      <c r="AG9" s="4" t="s">
        <v>407</v>
      </c>
      <c r="AM9" s="186">
        <v>218160</v>
      </c>
      <c r="AN9" s="2"/>
      <c r="AO9" t="s">
        <v>90</v>
      </c>
    </row>
    <row r="10" spans="1:42">
      <c r="A10">
        <f>ROW(Расходка[[#This Row],[Тип расходного материала ]])-1</f>
        <v>9</v>
      </c>
      <c r="B10" t="s">
        <v>5</v>
      </c>
      <c r="C10" t="s">
        <v>373</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0</v>
      </c>
      <c r="H10" s="115">
        <f>IF(ISNUMBER(SEARCH('Карта учёта'!$B$16,Расходка[[#This Row],[Наименование расходного материала]])),MAX($H$1:H9)+1,0)</f>
        <v>0</v>
      </c>
      <c r="I10" s="115">
        <f>IF(ISNUMBER(SEARCH('Карта учёта'!$B$17,Расходка[[#This Row],[Наименование расходного материала]])),MAX($I$1:I9)+1,0)</f>
        <v>0</v>
      </c>
      <c r="J10" s="115">
        <f>IF(ISNUMBER(SEARCH('Карта учёта'!$B$18,Расходка[[#This Row],[Наименование расходного материала]])),MAX($J$1:J9)+1,0)</f>
        <v>0</v>
      </c>
      <c r="K10" s="115">
        <f>IF(ISNUMBER(SEARCH('Карта учёта'!$B$19,Расходка[[#This Row],[Наименование расходного материала]])),MAX($K$1:K9)+1,0)</f>
        <v>9</v>
      </c>
      <c r="L10" s="115">
        <f>IF(ISNUMBER(SEARCH('Карта учёта'!$B$20,Расходка[[#This Row],[Наименование расходного материала]])),MAX($L$1:L9)+1,0)</f>
        <v>9</v>
      </c>
      <c r="M10" s="115">
        <f>IF(ISNUMBER(SEARCH('Карта учёта'!$B$21,Расходка[[#This Row],[Наименование расходного материала]])),MAX($M$1:M9)+1,0)</f>
        <v>9</v>
      </c>
      <c r="N10" s="115">
        <f>IF(ISNUMBER(SEARCH('Карта учёта'!$B$22,Расходка[[#This Row],[Наименование расходного материала]])),MAX($N$1:N9)+1,0)</f>
        <v>9</v>
      </c>
      <c r="O10" s="115">
        <f>IF(ISNUMBER(SEARCH('Карта учёта'!$B$23,Расходка[[#This Row],[Наименование расходного материала]])),MAX($O$1:O9)+1,0)</f>
        <v>9</v>
      </c>
      <c r="P10" s="115">
        <f>IF(ISNUMBER(SEARCH('Карта учёта'!$B$24,Расходка[[#This Row],[Наименование расходного материала]])),MAX($P$1:P9)+1,0)</f>
        <v>9</v>
      </c>
      <c r="Q10" s="115">
        <f>IF(ISNUMBER(SEARCH('Карта учёта'!$B$25,Расходка[[#This Row],[Наименование расходного материала]])),MAX($Q$1:Q9)+1,0)</f>
        <v>9</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
      </c>
      <c r="U10" s="114" t="str">
        <f>IFERROR(INDEX(Расходка[Наименование расходного материала],MATCH(Расходка[[#This Row],[№]],Поиск_расходки[Индекс4],0)),"")</f>
        <v/>
      </c>
      <c r="V10" s="114" t="str">
        <f>IFERROR(INDEX(Расходка[Наименование расходного материала],MATCH(Расходка[[#This Row],[№]],Поиск_расходки[Индекс5],0)),"")</f>
        <v/>
      </c>
      <c r="W10" s="114" t="str">
        <f>IFERROR(INDEX(Расходка[Наименование расходного материала],MATCH(Расходка[[#This Row],[№]],Поиск_расходки[Индекс6],0)),"")</f>
        <v/>
      </c>
      <c r="X10" s="114" t="str">
        <f>IFERROR(INDEX(Расходка[Наименование расходного материала],MATCH(Расходка[[#This Row],[№]],Поиск_расходки[Индекс7],0)),"")</f>
        <v>Колибри</v>
      </c>
      <c r="Y10" s="114" t="str">
        <f>IFERROR(INDEX(Расходка[Наименование расходного материала],MATCH(Расходка[[#This Row],[№]],Поиск_расходки[Индекс8],0)),"")</f>
        <v>Колибри</v>
      </c>
      <c r="Z10" s="114" t="str">
        <f>IFERROR(INDEX(Расходка[Наименование расходного материала],MATCH(Расходка[[#This Row],[№]],Поиск_расходки[Индекс9],0)),"")</f>
        <v>Колибри</v>
      </c>
      <c r="AA10" s="114" t="str">
        <f>IFERROR(INDEX(Расходка[Наименование расходного материала],MATCH(Расходка[[#This Row],[№]],Поиск_расходки[Индекс10],0)),"")</f>
        <v>Колибри</v>
      </c>
      <c r="AB10" s="114" t="str">
        <f>IFERROR(INDEX(Расходка[Наименование расходного материала],MATCH(Расходка[[#This Row],[№]],Поиск_расходки[Индекс11],0)),"")</f>
        <v>Колибри</v>
      </c>
      <c r="AC10" s="114" t="str">
        <f>IFERROR(INDEX(Расходка[Наименование расходного материала],MATCH(Расходка[[#This Row],[№]],Поиск_расходки[Индекс12],0)),"")</f>
        <v>Колибри</v>
      </c>
      <c r="AD10" s="114" t="str">
        <f>IFERROR(INDEX(Расходка[Наименование расходного материала],MATCH(Расходка[[#This Row],[№]],Поиск_расходки[Индекс13],0)),"")</f>
        <v>Колибри</v>
      </c>
      <c r="AF10" s="4" t="s">
        <v>5</v>
      </c>
      <c r="AG10" s="4" t="s">
        <v>408</v>
      </c>
      <c r="AI10" t="s">
        <v>354</v>
      </c>
      <c r="AM10" s="186">
        <v>194510</v>
      </c>
      <c r="AN10" s="2"/>
      <c r="AO10" t="s">
        <v>91</v>
      </c>
    </row>
    <row r="11" spans="1:42">
      <c r="A11">
        <f>ROW(Расходка[[#This Row],[Тип расходного материала ]])-1</f>
        <v>10</v>
      </c>
      <c r="B11" t="s">
        <v>5</v>
      </c>
      <c r="C11" t="s">
        <v>396</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0</v>
      </c>
      <c r="H11" s="115">
        <f>IF(ISNUMBER(SEARCH('Карта учёта'!$B$16,Расходка[[#This Row],[Наименование расходного материала]])),MAX($H$1:H10)+1,0)</f>
        <v>0</v>
      </c>
      <c r="I11" s="115">
        <f>IF(ISNUMBER(SEARCH('Карта учёта'!$B$17,Расходка[[#This Row],[Наименование расходного материала]])),MAX($I$1:I10)+1,0)</f>
        <v>0</v>
      </c>
      <c r="J11" s="115">
        <f>IF(ISNUMBER(SEARCH('Карта учёта'!$B$18,Расходка[[#This Row],[Наименование расходного материала]])),MAX($J$1:J10)+1,0)</f>
        <v>0</v>
      </c>
      <c r="K11" s="115">
        <f>IF(ISNUMBER(SEARCH('Карта учёта'!$B$19,Расходка[[#This Row],[Наименование расходного материала]])),MAX($K$1:K10)+1,0)</f>
        <v>10</v>
      </c>
      <c r="L11" s="115">
        <f>IF(ISNUMBER(SEARCH('Карта учёта'!$B$20,Расходка[[#This Row],[Наименование расходного материала]])),MAX($L$1:L10)+1,0)</f>
        <v>10</v>
      </c>
      <c r="M11" s="115">
        <f>IF(ISNUMBER(SEARCH('Карта учёта'!$B$21,Расходка[[#This Row],[Наименование расходного материала]])),MAX($M$1:M10)+1,0)</f>
        <v>10</v>
      </c>
      <c r="N11" s="115">
        <f>IF(ISNUMBER(SEARCH('Карта учёта'!$B$22,Расходка[[#This Row],[Наименование расходного материала]])),MAX($N$1:N10)+1,0)</f>
        <v>10</v>
      </c>
      <c r="O11" s="115">
        <f>IF(ISNUMBER(SEARCH('Карта учёта'!$B$23,Расходка[[#This Row],[Наименование расходного материала]])),MAX($O$1:O10)+1,0)</f>
        <v>10</v>
      </c>
      <c r="P11" s="115">
        <f>IF(ISNUMBER(SEARCH('Карта учёта'!$B$24,Расходка[[#This Row],[Наименование расходного материала]])),MAX($P$1:P10)+1,0)</f>
        <v>10</v>
      </c>
      <c r="Q11" s="115">
        <f>IF(ISNUMBER(SEARCH('Карта учёта'!$B$25,Расходка[[#This Row],[Наименование расходного материала]])),MAX($Q$1:Q10)+1,0)</f>
        <v>10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c>
      <c r="U11" s="114" t="str">
        <f>IFERROR(INDEX(Расходка[Наименование расходного материала],MATCH(Расходка[[#This Row],[№]],Поиск_расходки[Индекс4],0)),"")</f>
        <v/>
      </c>
      <c r="V11" s="114" t="str">
        <f>IFERROR(INDEX(Расходка[Наименование расходного материала],MATCH(Расходка[[#This Row],[№]],Поиск_расходки[Индекс5],0)),"")</f>
        <v/>
      </c>
      <c r="W11" s="114" t="str">
        <f>IFERROR(INDEX(Расходка[Наименование расходного материала],MATCH(Расходка[[#This Row],[№]],Поиск_расходки[Индекс6],0)),"")</f>
        <v/>
      </c>
      <c r="X11" s="114" t="str">
        <f>IFERROR(INDEX(Расходка[Наименование расходного материала],MATCH(Расходка[[#This Row],[№]],Поиск_расходки[Индекс7],0)),"")</f>
        <v xml:space="preserve">NC Колибри </v>
      </c>
      <c r="Y11" s="114" t="str">
        <f>IFERROR(INDEX(Расходка[Наименование расходного материала],MATCH(Расходка[[#This Row],[№]],Поиск_расходки[Индекс8],0)),"")</f>
        <v xml:space="preserve">NC Колибри </v>
      </c>
      <c r="Z11" s="114" t="str">
        <f>IFERROR(INDEX(Расходка[Наименование расходного материала],MATCH(Расходка[[#This Row],[№]],Поиск_расходки[Индекс9],0)),"")</f>
        <v xml:space="preserve">NC Колибри </v>
      </c>
      <c r="AA11" s="114" t="str">
        <f>IFERROR(INDEX(Расходка[Наименование расходного материала],MATCH(Расходка[[#This Row],[№]],Поиск_расходки[Индекс10],0)),"")</f>
        <v xml:space="preserve">NC Колибри </v>
      </c>
      <c r="AB11" s="114" t="str">
        <f>IFERROR(INDEX(Расходка[Наименование расходного материала],MATCH(Расходка[[#This Row],[№]],Поиск_расходки[Индекс11],0)),"")</f>
        <v xml:space="preserve">NC Колибри </v>
      </c>
      <c r="AC11" s="114" t="str">
        <f>IFERROR(INDEX(Расходка[Наименование расходного материала],MATCH(Расходка[[#This Row],[№]],Поиск_расходки[Индекс12],0)),"")</f>
        <v xml:space="preserve">NC Колибри </v>
      </c>
      <c r="AD11" s="114" t="str">
        <f>IFERROR(INDEX(Расходка[Наименование расходного материала],MATCH(Расходка[[#This Row],[№]],Поиск_расходки[Индекс13],0)),"")</f>
        <v xml:space="preserve">NC Колибри </v>
      </c>
      <c r="AF11" s="4" t="s">
        <v>5</v>
      </c>
      <c r="AG11" s="4" t="s">
        <v>409</v>
      </c>
      <c r="AI11" t="s">
        <v>4</v>
      </c>
      <c r="AM11" s="186">
        <v>323500</v>
      </c>
      <c r="AN11" s="2"/>
      <c r="AO11" t="s">
        <v>92</v>
      </c>
    </row>
    <row r="12" spans="1:42">
      <c r="A12">
        <f>ROW(Расходка[[#This Row],[Тип расходного материала ]])-1</f>
        <v>11</v>
      </c>
      <c r="B12" t="s">
        <v>5</v>
      </c>
      <c r="C12" t="s">
        <v>512</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0</v>
      </c>
      <c r="H12" s="115">
        <f>IF(ISNUMBER(SEARCH('Карта учёта'!$B$16,Расходка[[#This Row],[Наименование расходного материала]])),MAX($H$1:H11)+1,0)</f>
        <v>0</v>
      </c>
      <c r="I12" s="115">
        <f>IF(ISNUMBER(SEARCH('Карта учёта'!$B$17,Расходка[[#This Row],[Наименование расходного материала]])),MAX($I$1:I11)+1,0)</f>
        <v>0</v>
      </c>
      <c r="J12" s="115">
        <f>IF(ISNUMBER(SEARCH('Карта учёта'!$B$18,Расходка[[#This Row],[Наименование расходного материала]])),MAX($J$1:J11)+1,0)</f>
        <v>0</v>
      </c>
      <c r="K12" s="115">
        <f>IF(ISNUMBER(SEARCH('Карта учёта'!$B$19,Расходка[[#This Row],[Наименование расходного материала]])),MAX($K$1:K11)+1,0)</f>
        <v>11</v>
      </c>
      <c r="L12" s="115">
        <f>IF(ISNUMBER(SEARCH('Карта учёта'!$B$20,Расходка[[#This Row],[Наименование расходного материала]])),MAX($L$1:L11)+1,0)</f>
        <v>11</v>
      </c>
      <c r="M12" s="115">
        <f>IF(ISNUMBER(SEARCH('Карта учёта'!$B$21,Расходка[[#This Row],[Наименование расходного материала]])),MAX($M$1:M11)+1,0)</f>
        <v>11</v>
      </c>
      <c r="N12" s="115">
        <f>IF(ISNUMBER(SEARCH('Карта учёта'!$B$22,Расходка[[#This Row],[Наименование расходного материала]])),MAX($N$1:N11)+1,0)</f>
        <v>11</v>
      </c>
      <c r="O12" s="115">
        <f>IF(ISNUMBER(SEARCH('Карта учёта'!$B$23,Расходка[[#This Row],[Наименование расходного материала]])),MAX($O$1:O11)+1,0)</f>
        <v>11</v>
      </c>
      <c r="P12" s="115">
        <f>IF(ISNUMBER(SEARCH('Карта учёта'!$B$24,Расходка[[#This Row],[Наименование расходного материала]])),MAX($P$1:P11)+1,0)</f>
        <v>11</v>
      </c>
      <c r="Q12" s="115">
        <f>IF(ISNUMBER(SEARCH('Карта учёта'!$B$25,Расходка[[#This Row],[Наименование расходного материала]])),MAX($Q$1:Q11)+1,0)</f>
        <v>11</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
      </c>
      <c r="U12" s="114" t="str">
        <f>IFERROR(INDEX(Расходка[Наименование расходного материала],MATCH(Расходка[[#This Row],[№]],Поиск_расходки[Индекс4],0)),"")</f>
        <v/>
      </c>
      <c r="V12" s="114" t="str">
        <f>IFERROR(INDEX(Расходка[Наименование расходного материала],MATCH(Расходка[[#This Row],[№]],Поиск_расходки[Индекс5],0)),"")</f>
        <v/>
      </c>
      <c r="W12" s="114" t="str">
        <f>IFERROR(INDEX(Расходка[Наименование расходного материала],MATCH(Расходка[[#This Row],[№]],Поиск_расходки[Индекс6],0)),"")</f>
        <v/>
      </c>
      <c r="X12" s="114" t="str">
        <f>IFERROR(INDEX(Расходка[Наименование расходного материала],MATCH(Расходка[[#This Row],[№]],Поиск_расходки[Индекс7],0)),"")</f>
        <v>NC АКСИОМА</v>
      </c>
      <c r="Y12" s="114" t="str">
        <f>IFERROR(INDEX(Расходка[Наименование расходного материала],MATCH(Расходка[[#This Row],[№]],Поиск_расходки[Индекс8],0)),"")</f>
        <v>NC АКСИОМА</v>
      </c>
      <c r="Z12" s="114" t="str">
        <f>IFERROR(INDEX(Расходка[Наименование расходного материала],MATCH(Расходка[[#This Row],[№]],Поиск_расходки[Индекс9],0)),"")</f>
        <v>NC АКСИОМА</v>
      </c>
      <c r="AA12" s="114" t="str">
        <f>IFERROR(INDEX(Расходка[Наименование расходного материала],MATCH(Расходка[[#This Row],[№]],Поиск_расходки[Индекс10],0)),"")</f>
        <v>NC АКСИОМА</v>
      </c>
      <c r="AB12" s="114" t="str">
        <f>IFERROR(INDEX(Расходка[Наименование расходного материала],MATCH(Расходка[[#This Row],[№]],Поиск_расходки[Индекс11],0)),"")</f>
        <v>NC АКСИОМА</v>
      </c>
      <c r="AC12" s="114" t="str">
        <f>IFERROR(INDEX(Расходка[Наименование расходного материала],MATCH(Расходка[[#This Row],[№]],Поиск_расходки[Индекс12],0)),"")</f>
        <v>NC АКСИОМА</v>
      </c>
      <c r="AD12" s="114" t="str">
        <f>IFERROR(INDEX(Расходка[Наименование расходного материала],MATCH(Расходка[[#This Row],[№]],Поиск_расходки[Индекс13],0)),"")</f>
        <v>NC АКСИОМА</v>
      </c>
      <c r="AF12" s="4" t="s">
        <v>5</v>
      </c>
      <c r="AG12" s="4" t="s">
        <v>410</v>
      </c>
      <c r="AI12" t="s">
        <v>3</v>
      </c>
      <c r="AM12" s="186">
        <v>323510</v>
      </c>
      <c r="AN12" s="2"/>
      <c r="AO12" t="s">
        <v>93</v>
      </c>
    </row>
    <row r="13" spans="1:42">
      <c r="A13">
        <f>ROW(Расходка[[#This Row],[Тип расходного материала ]])-1</f>
        <v>12</v>
      </c>
      <c r="B13" t="s">
        <v>5</v>
      </c>
      <c r="C13" t="s">
        <v>529</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0</v>
      </c>
      <c r="H13" s="115">
        <f>IF(ISNUMBER(SEARCH('Карта учёта'!$B$16,Расходка[[#This Row],[Наименование расходного материала]])),MAX($H$1:H12)+1,0)</f>
        <v>1</v>
      </c>
      <c r="I13" s="115">
        <f>IF(ISNUMBER(SEARCH('Карта учёта'!$B$17,Расходка[[#This Row],[Наименование расходного материала]])),MAX($I$1:I12)+1,0)</f>
        <v>0</v>
      </c>
      <c r="J13" s="115">
        <f>IF(ISNUMBER(SEARCH('Карта учёта'!$B$18,Расходка[[#This Row],[Наименование расходного материала]])),MAX($J$1:J12)+1,0)</f>
        <v>0</v>
      </c>
      <c r="K13" s="115">
        <f>IF(ISNUMBER(SEARCH('Карта учёта'!$B$19,Расходка[[#This Row],[Наименование расходного материала]])),MAX($K$1:K12)+1,0)</f>
        <v>12</v>
      </c>
      <c r="L13" s="115">
        <f>IF(ISNUMBER(SEARCH('Карта учёта'!$B$20,Расходка[[#This Row],[Наименование расходного материала]])),MAX($L$1:L12)+1,0)</f>
        <v>12</v>
      </c>
      <c r="M13" s="115">
        <f>IF(ISNUMBER(SEARCH('Карта учёта'!$B$21,Расходка[[#This Row],[Наименование расходного материала]])),MAX($M$1:M12)+1,0)</f>
        <v>12</v>
      </c>
      <c r="N13" s="115">
        <f>IF(ISNUMBER(SEARCH('Карта учёта'!$B$22,Расходка[[#This Row],[Наименование расходного материала]])),MAX($N$1:N12)+1,0)</f>
        <v>12</v>
      </c>
      <c r="O13" s="115">
        <f>IF(ISNUMBER(SEARCH('Карта учёта'!$B$23,Расходка[[#This Row],[Наименование расходного материала]])),MAX($O$1:O12)+1,0)</f>
        <v>12</v>
      </c>
      <c r="P13" s="115">
        <f>IF(ISNUMBER(SEARCH('Карта учёта'!$B$24,Расходка[[#This Row],[Наименование расходного материала]])),MAX($P$1:P12)+1,0)</f>
        <v>12</v>
      </c>
      <c r="Q13" s="115">
        <f>IF(ISNUMBER(SEARCH('Карта учёта'!$B$25,Расходка[[#This Row],[Наименование расходного материала]])),MAX($Q$1:Q12)+1,0)</f>
        <v>12</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
      </c>
      <c r="U13" s="114" t="str">
        <f>IFERROR(INDEX(Расходка[Наименование расходного материала],MATCH(Расходка[[#This Row],[№]],Поиск_расходки[Индекс4],0)),"")</f>
        <v/>
      </c>
      <c r="V13" s="114" t="str">
        <f>IFERROR(INDEX(Расходка[Наименование расходного материала],MATCH(Расходка[[#This Row],[№]],Поиск_расходки[Индекс5],0)),"")</f>
        <v/>
      </c>
      <c r="W13" s="114" t="str">
        <f>IFERROR(INDEX(Расходка[Наименование расходного материала],MATCH(Расходка[[#This Row],[№]],Поиск_расходки[Индекс6],0)),"")</f>
        <v/>
      </c>
      <c r="X13" s="114" t="str">
        <f>IFERROR(INDEX(Расходка[Наименование расходного материала],MATCH(Расходка[[#This Row],[№]],Поиск_расходки[Индекс7],0)),"")</f>
        <v>Artimes</v>
      </c>
      <c r="Y13" s="114" t="str">
        <f>IFERROR(INDEX(Расходка[Наименование расходного материала],MATCH(Расходка[[#This Row],[№]],Поиск_расходки[Индекс8],0)),"")</f>
        <v>Artimes</v>
      </c>
      <c r="Z13" s="114" t="str">
        <f>IFERROR(INDEX(Расходка[Наименование расходного материала],MATCH(Расходка[[#This Row],[№]],Поиск_расходки[Индекс9],0)),"")</f>
        <v>Artimes</v>
      </c>
      <c r="AA13" s="114" t="str">
        <f>IFERROR(INDEX(Расходка[Наименование расходного материала],MATCH(Расходка[[#This Row],[№]],Поиск_расходки[Индекс10],0)),"")</f>
        <v>Artimes</v>
      </c>
      <c r="AB13" s="114" t="str">
        <f>IFERROR(INDEX(Расходка[Наименование расходного материала],MATCH(Расходка[[#This Row],[№]],Поиск_расходки[Индекс11],0)),"")</f>
        <v>Artimes</v>
      </c>
      <c r="AC13" s="114" t="str">
        <f>IFERROR(INDEX(Расходка[Наименование расходного материала],MATCH(Расходка[[#This Row],[№]],Поиск_расходки[Индекс12],0)),"")</f>
        <v>Artimes</v>
      </c>
      <c r="AD13" s="114" t="str">
        <f>IFERROR(INDEX(Расходка[Наименование расходного материала],MATCH(Расходка[[#This Row],[№]],Поиск_расходки[Индекс13],0)),"")</f>
        <v>Artimes</v>
      </c>
      <c r="AF13" s="4" t="s">
        <v>5</v>
      </c>
      <c r="AG13" s="4" t="s">
        <v>411</v>
      </c>
      <c r="AI13" t="s">
        <v>6</v>
      </c>
      <c r="AN13" s="2"/>
    </row>
    <row r="14" spans="1:42">
      <c r="A14">
        <f>ROW(Расходка[[#This Row],[Тип расходного материала ]])-1</f>
        <v>13</v>
      </c>
      <c r="B14" t="s">
        <v>5</v>
      </c>
      <c r="C14" t="s">
        <v>530</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0</v>
      </c>
      <c r="H14" s="115">
        <f>IF(ISNUMBER(SEARCH('Карта учёта'!$B$16,Расходка[[#This Row],[Наименование расходного материала]])),MAX($H$1:H13)+1,0)</f>
        <v>0</v>
      </c>
      <c r="I14" s="115">
        <f>IF(ISNUMBER(SEARCH('Карта учёта'!$B$17,Расходка[[#This Row],[Наименование расходного материала]])),MAX($I$1:I13)+1,0)</f>
        <v>1</v>
      </c>
      <c r="J14" s="115">
        <f>IF(ISNUMBER(SEARCH('Карта учёта'!$B$18,Расходка[[#This Row],[Наименование расходного материала]])),MAX($J$1:J13)+1,0)</f>
        <v>0</v>
      </c>
      <c r="K14" s="115">
        <f>IF(ISNUMBER(SEARCH('Карта учёта'!$B$19,Расходка[[#This Row],[Наименование расходного материала]])),MAX($K$1:K13)+1,0)</f>
        <v>13</v>
      </c>
      <c r="L14" s="115">
        <f>IF(ISNUMBER(SEARCH('Карта учёта'!$B$20,Расходка[[#This Row],[Наименование расходного материала]])),MAX($L$1:L13)+1,0)</f>
        <v>13</v>
      </c>
      <c r="M14" s="115">
        <f>IF(ISNUMBER(SEARCH('Карта учёта'!$B$21,Расходка[[#This Row],[Наименование расходного материала]])),MAX($M$1:M13)+1,0)</f>
        <v>13</v>
      </c>
      <c r="N14" s="115">
        <f>IF(ISNUMBER(SEARCH('Карта учёта'!$B$22,Расходка[[#This Row],[Наименование расходного материала]])),MAX($N$1:N13)+1,0)</f>
        <v>13</v>
      </c>
      <c r="O14" s="115">
        <f>IF(ISNUMBER(SEARCH('Карта учёта'!$B$23,Расходка[[#This Row],[Наименование расходного материала]])),MAX($O$1:O13)+1,0)</f>
        <v>13</v>
      </c>
      <c r="P14" s="115">
        <f>IF(ISNUMBER(SEARCH('Карта учёта'!$B$24,Расходка[[#This Row],[Наименование расходного материала]])),MAX($P$1:P13)+1,0)</f>
        <v>13</v>
      </c>
      <c r="Q14" s="115">
        <f>IF(ISNUMBER(SEARCH('Карта учёта'!$B$25,Расходка[[#This Row],[Наименование расходного материала]])),MAX($Q$1:Q13)+1,0)</f>
        <v>13</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
      </c>
      <c r="U14" s="114" t="str">
        <f>IFERROR(INDEX(Расходка[Наименование расходного материала],MATCH(Расходка[[#This Row],[№]],Поиск_расходки[Индекс4],0)),"")</f>
        <v/>
      </c>
      <c r="V14" s="114" t="str">
        <f>IFERROR(INDEX(Расходка[Наименование расходного материала],MATCH(Расходка[[#This Row],[№]],Поиск_расходки[Индекс5],0)),"")</f>
        <v/>
      </c>
      <c r="W14" s="114" t="str">
        <f>IFERROR(INDEX(Расходка[Наименование расходного материала],MATCH(Расходка[[#This Row],[№]],Поиск_расходки[Индекс6],0)),"")</f>
        <v/>
      </c>
      <c r="X14" s="114" t="str">
        <f>IFERROR(INDEX(Расходка[Наименование расходного материала],MATCH(Расходка[[#This Row],[№]],Поиск_расходки[Индекс7],0)),"")</f>
        <v>Apollo</v>
      </c>
      <c r="Y14" s="114" t="str">
        <f>IFERROR(INDEX(Расходка[Наименование расходного материала],MATCH(Расходка[[#This Row],[№]],Поиск_расходки[Индекс8],0)),"")</f>
        <v>Apollo</v>
      </c>
      <c r="Z14" s="114" t="str">
        <f>IFERROR(INDEX(Расходка[Наименование расходного материала],MATCH(Расходка[[#This Row],[№]],Поиск_расходки[Индекс9],0)),"")</f>
        <v>Apollo</v>
      </c>
      <c r="AA14" s="114" t="str">
        <f>IFERROR(INDEX(Расходка[Наименование расходного материала],MATCH(Расходка[[#This Row],[№]],Поиск_расходки[Индекс10],0)),"")</f>
        <v>Apollo</v>
      </c>
      <c r="AB14" s="114" t="str">
        <f>IFERROR(INDEX(Расходка[Наименование расходного материала],MATCH(Расходка[[#This Row],[№]],Поиск_расходки[Индекс11],0)),"")</f>
        <v>Apollo</v>
      </c>
      <c r="AC14" s="114" t="str">
        <f>IFERROR(INDEX(Расходка[Наименование расходного материала],MATCH(Расходка[[#This Row],[№]],Поиск_расходки[Индекс12],0)),"")</f>
        <v>Apollo</v>
      </c>
      <c r="AD14" s="114" t="str">
        <f>IFERROR(INDEX(Расходка[Наименование расходного материала],MATCH(Расходка[[#This Row],[№]],Поиск_расходки[Индекс13],0)),"")</f>
        <v>Apollo</v>
      </c>
      <c r="AF14" s="4" t="s">
        <v>5</v>
      </c>
      <c r="AG14" s="4" t="s">
        <v>490</v>
      </c>
      <c r="AI14" t="s">
        <v>5</v>
      </c>
      <c r="AM14" s="186"/>
      <c r="AN14" s="2"/>
    </row>
    <row r="15" spans="1:42">
      <c r="A15">
        <f>ROW(Расходка[[#This Row],[Тип расходного материала ]])-1</f>
        <v>14</v>
      </c>
      <c r="B15" t="s">
        <v>307</v>
      </c>
      <c r="C15" s="1" t="s">
        <v>332</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0</v>
      </c>
      <c r="H15" s="115">
        <f>IF(ISNUMBER(SEARCH('Карта учёта'!$B$16,Расходка[[#This Row],[Наименование расходного материала]])),MAX($H$1:H14)+1,0)</f>
        <v>0</v>
      </c>
      <c r="I15" s="115">
        <f>IF(ISNUMBER(SEARCH('Карта учёта'!$B$17,Расходка[[#This Row],[Наименование расходного материала]])),MAX($I$1:I14)+1,0)</f>
        <v>0</v>
      </c>
      <c r="J15" s="115">
        <f>IF(ISNUMBER(SEARCH('Карта учёта'!$B$18,Расходка[[#This Row],[Наименование расходного материала]])),MAX($J$1:J14)+1,0)</f>
        <v>0</v>
      </c>
      <c r="K15" s="115">
        <f>IF(ISNUMBER(SEARCH('Карта учёта'!$B$19,Расходка[[#This Row],[Наименование расходного материала]])),MAX($K$1:K14)+1,0)</f>
        <v>14</v>
      </c>
      <c r="L15" s="115">
        <f>IF(ISNUMBER(SEARCH('Карта учёта'!$B$20,Расходка[[#This Row],[Наименование расходного материала]])),MAX($L$1:L14)+1,0)</f>
        <v>14</v>
      </c>
      <c r="M15" s="115">
        <f>IF(ISNUMBER(SEARCH('Карта учёта'!$B$21,Расходка[[#This Row],[Наименование расходного материала]])),MAX($M$1:M14)+1,0)</f>
        <v>14</v>
      </c>
      <c r="N15" s="115">
        <f>IF(ISNUMBER(SEARCH('Карта учёта'!$B$22,Расходка[[#This Row],[Наименование расходного материала]])),MAX($N$1:N14)+1,0)</f>
        <v>14</v>
      </c>
      <c r="O15" s="115">
        <f>IF(ISNUMBER(SEARCH('Карта учёта'!$B$23,Расходка[[#This Row],[Наименование расходного материала]])),MAX($O$1:O14)+1,0)</f>
        <v>14</v>
      </c>
      <c r="P15" s="115">
        <f>IF(ISNUMBER(SEARCH('Карта учёта'!$B$24,Расходка[[#This Row],[Наименование расходного материала]])),MAX($P$1:P14)+1,0)</f>
        <v>14</v>
      </c>
      <c r="Q15" s="115">
        <f>IF(ISNUMBER(SEARCH('Карта учёта'!$B$25,Расходка[[#This Row],[Наименование расходного материала]])),MAX($Q$1:Q14)+1,0)</f>
        <v>14</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
      </c>
      <c r="U15" s="114" t="str">
        <f>IFERROR(INDEX(Расходка[Наименование расходного материала],MATCH(Расходка[[#This Row],[№]],Поиск_расходки[Индекс4],0)),"")</f>
        <v/>
      </c>
      <c r="V15" s="114" t="str">
        <f>IFERROR(INDEX(Расходка[Наименование расходного материала],MATCH(Расходка[[#This Row],[№]],Поиск_расходки[Индекс5],0)),"")</f>
        <v/>
      </c>
      <c r="W15" s="114" t="str">
        <f>IFERROR(INDEX(Расходка[Наименование расходного материала],MATCH(Расходка[[#This Row],[№]],Поиск_расходки[Индекс6],0)),"")</f>
        <v/>
      </c>
      <c r="X15" s="114" t="str">
        <f>IFERROR(INDEX(Расходка[Наименование расходного материала],MATCH(Расходка[[#This Row],[№]],Поиск_расходки[Индекс7],0)),"")</f>
        <v>Nitrex 260</v>
      </c>
      <c r="Y15" s="114" t="str">
        <f>IFERROR(INDEX(Расходка[Наименование расходного материала],MATCH(Расходка[[#This Row],[№]],Поиск_расходки[Индекс8],0)),"")</f>
        <v>Nitrex 260</v>
      </c>
      <c r="Z15" s="114" t="str">
        <f>IFERROR(INDEX(Расходка[Наименование расходного материала],MATCH(Расходка[[#This Row],[№]],Поиск_расходки[Индекс9],0)),"")</f>
        <v>Nitrex 260</v>
      </c>
      <c r="AA15" s="114" t="str">
        <f>IFERROR(INDEX(Расходка[Наименование расходного материала],MATCH(Расходка[[#This Row],[№]],Поиск_расходки[Индекс10],0)),"")</f>
        <v>Nitrex 260</v>
      </c>
      <c r="AB15" s="114" t="str">
        <f>IFERROR(INDEX(Расходка[Наименование расходного материала],MATCH(Расходка[[#This Row],[№]],Поиск_расходки[Индекс11],0)),"")</f>
        <v>Nitrex 260</v>
      </c>
      <c r="AC15" s="114" t="str">
        <f>IFERROR(INDEX(Расходка[Наименование расходного материала],MATCH(Расходка[[#This Row],[№]],Поиск_расходки[Индекс12],0)),"")</f>
        <v>Nitrex 260</v>
      </c>
      <c r="AD15" s="114" t="str">
        <f>IFERROR(INDEX(Расходка[Наименование расходного материала],MATCH(Расходка[[#This Row],[№]],Поиск_расходки[Индекс13],0)),"")</f>
        <v>Nitrex 260</v>
      </c>
      <c r="AF15" s="4" t="s">
        <v>5</v>
      </c>
      <c r="AG15" s="4" t="s">
        <v>412</v>
      </c>
      <c r="AI15" t="s">
        <v>94</v>
      </c>
    </row>
    <row r="16" spans="1:42">
      <c r="A16">
        <f>ROW(Расходка[[#This Row],[Тип расходного материала ]])-1</f>
        <v>15</v>
      </c>
      <c r="B16" t="s">
        <v>307</v>
      </c>
      <c r="C16" t="s">
        <v>364</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0</v>
      </c>
      <c r="H16" s="115">
        <f>IF(ISNUMBER(SEARCH('Карта учёта'!$B$16,Расходка[[#This Row],[Наименование расходного материала]])),MAX($H$1:H15)+1,0)</f>
        <v>0</v>
      </c>
      <c r="I16" s="115">
        <f>IF(ISNUMBER(SEARCH('Карта учёта'!$B$17,Расходка[[#This Row],[Наименование расходного материала]])),MAX($I$1:I15)+1,0)</f>
        <v>0</v>
      </c>
      <c r="J16" s="115">
        <f>IF(ISNUMBER(SEARCH('Карта учёта'!$B$18,Расходка[[#This Row],[Наименование расходного материала]])),MAX($J$1:J15)+1,0)</f>
        <v>0</v>
      </c>
      <c r="K16" s="115">
        <f>IF(ISNUMBER(SEARCH('Карта учёта'!$B$19,Расходка[[#This Row],[Наименование расходного материала]])),MAX($K$1:K15)+1,0)</f>
        <v>15</v>
      </c>
      <c r="L16" s="115">
        <f>IF(ISNUMBER(SEARCH('Карта учёта'!$B$20,Расходка[[#This Row],[Наименование расходного материала]])),MAX($L$1:L15)+1,0)</f>
        <v>15</v>
      </c>
      <c r="M16" s="115">
        <f>IF(ISNUMBER(SEARCH('Карта учёта'!$B$21,Расходка[[#This Row],[Наименование расходного материала]])),MAX($M$1:M15)+1,0)</f>
        <v>15</v>
      </c>
      <c r="N16" s="115">
        <f>IF(ISNUMBER(SEARCH('Карта учёта'!$B$22,Расходка[[#This Row],[Наименование расходного материала]])),MAX($N$1:N15)+1,0)</f>
        <v>15</v>
      </c>
      <c r="O16" s="115">
        <f>IF(ISNUMBER(SEARCH('Карта учёта'!$B$23,Расходка[[#This Row],[Наименование расходного материала]])),MAX($O$1:O15)+1,0)</f>
        <v>15</v>
      </c>
      <c r="P16" s="115">
        <f>IF(ISNUMBER(SEARCH('Карта учёта'!$B$24,Расходка[[#This Row],[Наименование расходного материала]])),MAX($P$1:P15)+1,0)</f>
        <v>15</v>
      </c>
      <c r="Q16" s="115">
        <f>IF(ISNUMBER(SEARCH('Карта учёта'!$B$25,Расходка[[#This Row],[Наименование расходного материала]])),MAX($Q$1:Q15)+1,0)</f>
        <v>15</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
      </c>
      <c r="U16" s="114" t="str">
        <f>IFERROR(INDEX(Расходка[Наименование расходного материала],MATCH(Расходка[[#This Row],[№]],Поиск_расходки[Индекс4],0)),"")</f>
        <v/>
      </c>
      <c r="V16" s="114" t="str">
        <f>IFERROR(INDEX(Расходка[Наименование расходного материала],MATCH(Расходка[[#This Row],[№]],Поиск_расходки[Индекс5],0)),"")</f>
        <v/>
      </c>
      <c r="W16" s="114" t="str">
        <f>IFERROR(INDEX(Расходка[Наименование расходного материала],MATCH(Расходка[[#This Row],[№]],Поиск_расходки[Индекс6],0)),"")</f>
        <v/>
      </c>
      <c r="X16" s="114" t="str">
        <f>IFERROR(INDEX(Расходка[Наименование расходного материала],MATCH(Расходка[[#This Row],[№]],Поиск_расходки[Индекс7],0)),"")</f>
        <v>RadiFocus</v>
      </c>
      <c r="Y16" s="114" t="str">
        <f>IFERROR(INDEX(Расходка[Наименование расходного материала],MATCH(Расходка[[#This Row],[№]],Поиск_расходки[Индекс8],0)),"")</f>
        <v>RadiFocus</v>
      </c>
      <c r="Z16" s="114" t="str">
        <f>IFERROR(INDEX(Расходка[Наименование расходного материала],MATCH(Расходка[[#This Row],[№]],Поиск_расходки[Индекс9],0)),"")</f>
        <v>RadiFocus</v>
      </c>
      <c r="AA16" s="114" t="str">
        <f>IFERROR(INDEX(Расходка[Наименование расходного материала],MATCH(Расходка[[#This Row],[№]],Поиск_расходки[Индекс10],0)),"")</f>
        <v>RadiFocus</v>
      </c>
      <c r="AB16" s="114" t="str">
        <f>IFERROR(INDEX(Расходка[Наименование расходного материала],MATCH(Расходка[[#This Row],[№]],Поиск_расходки[Индекс11],0)),"")</f>
        <v>RadiFocus</v>
      </c>
      <c r="AC16" s="114" t="str">
        <f>IFERROR(INDEX(Расходка[Наименование расходного материала],MATCH(Расходка[[#This Row],[№]],Поиск_расходки[Индекс12],0)),"")</f>
        <v>RadiFocus</v>
      </c>
      <c r="AD16" s="114" t="str">
        <f>IFERROR(INDEX(Расходка[Наименование расходного материала],MATCH(Расходка[[#This Row],[№]],Поиск_расходки[Индекс13],0)),"")</f>
        <v>RadiFocus</v>
      </c>
      <c r="AF16" s="4" t="s">
        <v>5</v>
      </c>
      <c r="AG16" s="4" t="s">
        <v>413</v>
      </c>
      <c r="AI16" t="s">
        <v>305</v>
      </c>
    </row>
    <row r="17" spans="1:35">
      <c r="A17">
        <f>ROW(Расходка[[#This Row],[Тип расходного материала ]])-1</f>
        <v>16</v>
      </c>
      <c r="B17" t="s">
        <v>305</v>
      </c>
      <c r="C17" t="s">
        <v>331</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0</v>
      </c>
      <c r="H17" s="115">
        <f>IF(ISNUMBER(SEARCH('Карта учёта'!$B$16,Расходка[[#This Row],[Наименование расходного материала]])),MAX($H$1:H16)+1,0)</f>
        <v>0</v>
      </c>
      <c r="I17" s="115">
        <f>IF(ISNUMBER(SEARCH('Карта учёта'!$B$17,Расходка[[#This Row],[Наименование расходного материала]])),MAX($I$1:I16)+1,0)</f>
        <v>0</v>
      </c>
      <c r="J17" s="115">
        <f>IF(ISNUMBER(SEARCH('Карта учёта'!$B$18,Расходка[[#This Row],[Наименование расходного материала]])),MAX($J$1:J16)+1,0)</f>
        <v>0</v>
      </c>
      <c r="K17" s="115">
        <f>IF(ISNUMBER(SEARCH('Карта учёта'!$B$19,Расходка[[#This Row],[Наименование расходного материала]])),MAX($K$1:K16)+1,0)</f>
        <v>16</v>
      </c>
      <c r="L17" s="115">
        <f>IF(ISNUMBER(SEARCH('Карта учёта'!$B$20,Расходка[[#This Row],[Наименование расходного материала]])),MAX($L$1:L16)+1,0)</f>
        <v>16</v>
      </c>
      <c r="M17" s="115">
        <f>IF(ISNUMBER(SEARCH('Карта учёта'!$B$21,Расходка[[#This Row],[Наименование расходного материала]])),MAX($M$1:M16)+1,0)</f>
        <v>16</v>
      </c>
      <c r="N17" s="115">
        <f>IF(ISNUMBER(SEARCH('Карта учёта'!$B$22,Расходка[[#This Row],[Наименование расходного материала]])),MAX($N$1:N16)+1,0)</f>
        <v>16</v>
      </c>
      <c r="O17" s="115">
        <f>IF(ISNUMBER(SEARCH('Карта учёта'!$B$23,Расходка[[#This Row],[Наименование расходного материала]])),MAX($O$1:O16)+1,0)</f>
        <v>16</v>
      </c>
      <c r="P17" s="115">
        <f>IF(ISNUMBER(SEARCH('Карта учёта'!$B$24,Расходка[[#This Row],[Наименование расходного материала]])),MAX($P$1:P16)+1,0)</f>
        <v>16</v>
      </c>
      <c r="Q17" s="115">
        <f>IF(ISNUMBER(SEARCH('Карта учёта'!$B$25,Расходка[[#This Row],[Наименование расходного материала]])),MAX($Q$1:Q16)+1,0)</f>
        <v>16</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
      </c>
      <c r="U17" s="114" t="str">
        <f>IFERROR(INDEX(Расходка[Наименование расходного материала],MATCH(Расходка[[#This Row],[№]],Поиск_расходки[Индекс4],0)),"")</f>
        <v/>
      </c>
      <c r="V17" s="114" t="str">
        <f>IFERROR(INDEX(Расходка[Наименование расходного материала],MATCH(Расходка[[#This Row],[№]],Поиск_расходки[Индекс5],0)),"")</f>
        <v/>
      </c>
      <c r="W17" s="114" t="str">
        <f>IFERROR(INDEX(Расходка[Наименование расходного материала],MATCH(Расходка[[#This Row],[№]],Поиск_расходки[Индекс6],0)),"")</f>
        <v/>
      </c>
      <c r="X17" s="114" t="str">
        <f>IFERROR(INDEX(Расходка[Наименование расходного материала],MATCH(Расходка[[#This Row],[№]],Поиск_расходки[Индекс7],0)),"")</f>
        <v>BasixCOMPAK</v>
      </c>
      <c r="Y17" s="114" t="str">
        <f>IFERROR(INDEX(Расходка[Наименование расходного материала],MATCH(Расходка[[#This Row],[№]],Поиск_расходки[Индекс8],0)),"")</f>
        <v>BasixCOMPAK</v>
      </c>
      <c r="Z17" s="114" t="str">
        <f>IFERROR(INDEX(Расходка[Наименование расходного материала],MATCH(Расходка[[#This Row],[№]],Поиск_расходки[Индекс9],0)),"")</f>
        <v>BasixCOMPAK</v>
      </c>
      <c r="AA17" s="114" t="str">
        <f>IFERROR(INDEX(Расходка[Наименование расходного материала],MATCH(Расходка[[#This Row],[№]],Поиск_расходки[Индекс10],0)),"")</f>
        <v>BasixCOMPAK</v>
      </c>
      <c r="AB17" s="114" t="str">
        <f>IFERROR(INDEX(Расходка[Наименование расходного материала],MATCH(Расходка[[#This Row],[№]],Поиск_расходки[Индекс11],0)),"")</f>
        <v>BasixCOMPAK</v>
      </c>
      <c r="AC17" s="114" t="str">
        <f>IFERROR(INDEX(Расходка[Наименование расходного материала],MATCH(Расходка[[#This Row],[№]],Поиск_расходки[Индекс12],0)),"")</f>
        <v>BasixCOMPAK</v>
      </c>
      <c r="AD17" s="114" t="str">
        <f>IFERROR(INDEX(Расходка[Наименование расходного материала],MATCH(Расходка[[#This Row],[№]],Поиск_расходки[Индекс13],0)),"")</f>
        <v>BasixCOMPAK</v>
      </c>
      <c r="AF17" s="4" t="s">
        <v>5</v>
      </c>
      <c r="AG17" s="4" t="s">
        <v>414</v>
      </c>
      <c r="AI17" t="s">
        <v>206</v>
      </c>
    </row>
    <row r="18" spans="1:35">
      <c r="A18">
        <f>ROW(Расходка[[#This Row],[Тип расходного материала ]])-1</f>
        <v>17</v>
      </c>
      <c r="B18" t="s">
        <v>305</v>
      </c>
      <c r="C18" t="s">
        <v>361</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0</v>
      </c>
      <c r="H18" s="115">
        <f>IF(ISNUMBER(SEARCH('Карта учёта'!$B$16,Расходка[[#This Row],[Наименование расходного материала]])),MAX($H$1:H17)+1,0)</f>
        <v>0</v>
      </c>
      <c r="I18" s="115">
        <f>IF(ISNUMBER(SEARCH('Карта учёта'!$B$17,Расходка[[#This Row],[Наименование расходного материала]])),MAX($I$1:I17)+1,0)</f>
        <v>0</v>
      </c>
      <c r="J18" s="115">
        <f>IF(ISNUMBER(SEARCH('Карта учёта'!$B$18,Расходка[[#This Row],[Наименование расходного материала]])),MAX($J$1:J17)+1,0)</f>
        <v>0</v>
      </c>
      <c r="K18" s="115">
        <f>IF(ISNUMBER(SEARCH('Карта учёта'!$B$19,Расходка[[#This Row],[Наименование расходного материала]])),MAX($K$1:K17)+1,0)</f>
        <v>17</v>
      </c>
      <c r="L18" s="115">
        <f>IF(ISNUMBER(SEARCH('Карта учёта'!$B$20,Расходка[[#This Row],[Наименование расходного материала]])),MAX($L$1:L17)+1,0)</f>
        <v>17</v>
      </c>
      <c r="M18" s="115">
        <f>IF(ISNUMBER(SEARCH('Карта учёта'!$B$21,Расходка[[#This Row],[Наименование расходного материала]])),MAX($M$1:M17)+1,0)</f>
        <v>17</v>
      </c>
      <c r="N18" s="115">
        <f>IF(ISNUMBER(SEARCH('Карта учёта'!$B$22,Расходка[[#This Row],[Наименование расходного материала]])),MAX($N$1:N17)+1,0)</f>
        <v>17</v>
      </c>
      <c r="O18" s="115">
        <f>IF(ISNUMBER(SEARCH('Карта учёта'!$B$23,Расходка[[#This Row],[Наименование расходного материала]])),MAX($O$1:O17)+1,0)</f>
        <v>17</v>
      </c>
      <c r="P18" s="115">
        <f>IF(ISNUMBER(SEARCH('Карта учёта'!$B$24,Расходка[[#This Row],[Наименование расходного материала]])),MAX($P$1:P17)+1,0)</f>
        <v>17</v>
      </c>
      <c r="Q18" s="115">
        <f>IF(ISNUMBER(SEARCH('Карта учёта'!$B$25,Расходка[[#This Row],[Наименование расходного материала]])),MAX($Q$1:Q17)+1,0)</f>
        <v>17</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
      </c>
      <c r="U18" s="114" t="str">
        <f>IFERROR(INDEX(Расходка[Наименование расходного материала],MATCH(Расходка[[#This Row],[№]],Поиск_расходки[Индекс4],0)),"")</f>
        <v/>
      </c>
      <c r="V18" s="114" t="str">
        <f>IFERROR(INDEX(Расходка[Наименование расходного материала],MATCH(Расходка[[#This Row],[№]],Поиск_расходки[Индекс5],0)),"")</f>
        <v/>
      </c>
      <c r="W18" s="114" t="str">
        <f>IFERROR(INDEX(Расходка[Наименование расходного материала],MATCH(Расходка[[#This Row],[№]],Поиск_расходки[Индекс6],0)),"")</f>
        <v/>
      </c>
      <c r="X18" s="114" t="str">
        <f>IFERROR(INDEX(Расходка[Наименование расходного материала],MATCH(Расходка[[#This Row],[№]],Поиск_расходки[Индекс7],0)),"")</f>
        <v>BasixTOUCH</v>
      </c>
      <c r="Y18" s="114" t="str">
        <f>IFERROR(INDEX(Расходка[Наименование расходного материала],MATCH(Расходка[[#This Row],[№]],Поиск_расходки[Индекс8],0)),"")</f>
        <v>BasixTOUCH</v>
      </c>
      <c r="Z18" s="114" t="str">
        <f>IFERROR(INDEX(Расходка[Наименование расходного материала],MATCH(Расходка[[#This Row],[№]],Поиск_расходки[Индекс9],0)),"")</f>
        <v>BasixTOUCH</v>
      </c>
      <c r="AA18" s="114" t="str">
        <f>IFERROR(INDEX(Расходка[Наименование расходного материала],MATCH(Расходка[[#This Row],[№]],Поиск_расходки[Индекс10],0)),"")</f>
        <v>BasixTOUCH</v>
      </c>
      <c r="AB18" s="114" t="str">
        <f>IFERROR(INDEX(Расходка[Наименование расходного материала],MATCH(Расходка[[#This Row],[№]],Поиск_расходки[Индекс11],0)),"")</f>
        <v>BasixTOUCH</v>
      </c>
      <c r="AC18" s="114" t="str">
        <f>IFERROR(INDEX(Расходка[Наименование расходного материала],MATCH(Расходка[[#This Row],[№]],Поиск_расходки[Индекс12],0)),"")</f>
        <v>BasixTOUCH</v>
      </c>
      <c r="AD18" s="114" t="str">
        <f>IFERROR(INDEX(Расходка[Наименование расходного материала],MATCH(Расходка[[#This Row],[№]],Поиск_расходки[Индекс13],0)),"")</f>
        <v>BasixTOUCH</v>
      </c>
      <c r="AF18" s="4" t="s">
        <v>5</v>
      </c>
      <c r="AG18" s="4" t="s">
        <v>415</v>
      </c>
      <c r="AI18" t="s">
        <v>95</v>
      </c>
    </row>
    <row r="19" spans="1:35">
      <c r="A19">
        <f>ROW(Расходка[[#This Row],[Тип расходного материала ]])-1</f>
        <v>18</v>
      </c>
      <c r="B19" t="s">
        <v>305</v>
      </c>
      <c r="C19" t="s">
        <v>353</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0</v>
      </c>
      <c r="H19" s="115">
        <f>IF(ISNUMBER(SEARCH('Карта учёта'!$B$16,Расходка[[#This Row],[Наименование расходного материала]])),MAX($H$1:H18)+1,0)</f>
        <v>0</v>
      </c>
      <c r="I19" s="115">
        <f>IF(ISNUMBER(SEARCH('Карта учёта'!$B$17,Расходка[[#This Row],[Наименование расходного материала]])),MAX($I$1:I18)+1,0)</f>
        <v>0</v>
      </c>
      <c r="J19" s="115">
        <f>IF(ISNUMBER(SEARCH('Карта учёта'!$B$18,Расходка[[#This Row],[Наименование расходного материала]])),MAX($J$1:J18)+1,0)</f>
        <v>0</v>
      </c>
      <c r="K19" s="115">
        <f>IF(ISNUMBER(SEARCH('Карта учёта'!$B$19,Расходка[[#This Row],[Наименование расходного материала]])),MAX($K$1:K18)+1,0)</f>
        <v>18</v>
      </c>
      <c r="L19" s="115">
        <f>IF(ISNUMBER(SEARCH('Карта учёта'!$B$20,Расходка[[#This Row],[Наименование расходного материала]])),MAX($L$1:L18)+1,0)</f>
        <v>18</v>
      </c>
      <c r="M19" s="115">
        <f>IF(ISNUMBER(SEARCH('Карта учёта'!$B$21,Расходка[[#This Row],[Наименование расходного материала]])),MAX($M$1:M18)+1,0)</f>
        <v>18</v>
      </c>
      <c r="N19" s="115">
        <f>IF(ISNUMBER(SEARCH('Карта учёта'!$B$22,Расходка[[#This Row],[Наименование расходного материала]])),MAX($N$1:N18)+1,0)</f>
        <v>18</v>
      </c>
      <c r="O19" s="115">
        <f>IF(ISNUMBER(SEARCH('Карта учёта'!$B$23,Расходка[[#This Row],[Наименование расходного материала]])),MAX($O$1:O18)+1,0)</f>
        <v>18</v>
      </c>
      <c r="P19" s="115">
        <f>IF(ISNUMBER(SEARCH('Карта учёта'!$B$24,Расходка[[#This Row],[Наименование расходного материала]])),MAX($P$1:P18)+1,0)</f>
        <v>18</v>
      </c>
      <c r="Q19" s="115">
        <f>IF(ISNUMBER(SEARCH('Карта учёта'!$B$25,Расходка[[#This Row],[Наименование расходного материала]])),MAX($Q$1:Q18)+1,0)</f>
        <v>18</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
      </c>
      <c r="U19" s="114" t="str">
        <f>IFERROR(INDEX(Расходка[Наименование расходного материала],MATCH(Расходка[[#This Row],[№]],Поиск_расходки[Индекс4],0)),"")</f>
        <v/>
      </c>
      <c r="V19" s="114" t="str">
        <f>IFERROR(INDEX(Расходка[Наименование расходного материала],MATCH(Расходка[[#This Row],[№]],Поиск_расходки[Индекс5],0)),"")</f>
        <v/>
      </c>
      <c r="W19" s="114" t="str">
        <f>IFERROR(INDEX(Расходка[Наименование расходного материала],MATCH(Расходка[[#This Row],[№]],Поиск_расходки[Индекс6],0)),"")</f>
        <v/>
      </c>
      <c r="X19" s="114" t="str">
        <f>IFERROR(INDEX(Расходка[Наименование расходного материала],MATCH(Расходка[[#This Row],[№]],Поиск_расходки[Индекс7],0)),"")</f>
        <v>Dolphin</v>
      </c>
      <c r="Y19" s="114" t="str">
        <f>IFERROR(INDEX(Расходка[Наименование расходного материала],MATCH(Расходка[[#This Row],[№]],Поиск_расходки[Индекс8],0)),"")</f>
        <v>Dolphin</v>
      </c>
      <c r="Z19" s="114" t="str">
        <f>IFERROR(INDEX(Расходка[Наименование расходного материала],MATCH(Расходка[[#This Row],[№]],Поиск_расходки[Индекс9],0)),"")</f>
        <v>Dolphin</v>
      </c>
      <c r="AA19" s="114" t="str">
        <f>IFERROR(INDEX(Расходка[Наименование расходного материала],MATCH(Расходка[[#This Row],[№]],Поиск_расходки[Индекс10],0)),"")</f>
        <v>Dolphin</v>
      </c>
      <c r="AB19" s="114" t="str">
        <f>IFERROR(INDEX(Расходка[Наименование расходного материала],MATCH(Расходка[[#This Row],[№]],Поиск_расходки[Индекс11],0)),"")</f>
        <v>Dolphin</v>
      </c>
      <c r="AC19" s="114" t="str">
        <f>IFERROR(INDEX(Расходка[Наименование расходного материала],MATCH(Расходка[[#This Row],[№]],Поиск_расходки[Индекс12],0)),"")</f>
        <v>Dolphin</v>
      </c>
      <c r="AD19" s="114" t="str">
        <f>IFERROR(INDEX(Расходка[Наименование расходного материала],MATCH(Расходка[[#This Row],[№]],Поиск_расходки[Индекс13],0)),"")</f>
        <v>Dolphin</v>
      </c>
      <c r="AF19" s="4" t="s">
        <v>5</v>
      </c>
      <c r="AG19" s="4" t="s">
        <v>416</v>
      </c>
      <c r="AI19" t="s">
        <v>301</v>
      </c>
    </row>
    <row r="20" spans="1:35">
      <c r="A20">
        <f>ROW(Расходка[[#This Row],[Тип расходного материала ]])-1</f>
        <v>19</v>
      </c>
      <c r="B20" t="s">
        <v>305</v>
      </c>
      <c r="C20" t="s">
        <v>374</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0</v>
      </c>
      <c r="H20" s="115">
        <f>IF(ISNUMBER(SEARCH('Карта учёта'!$B$16,Расходка[[#This Row],[Наименование расходного материала]])),MAX($H$1:H19)+1,0)</f>
        <v>0</v>
      </c>
      <c r="I20" s="115">
        <f>IF(ISNUMBER(SEARCH('Карта учёта'!$B$17,Расходка[[#This Row],[Наименование расходного материала]])),MAX($I$1:I19)+1,0)</f>
        <v>0</v>
      </c>
      <c r="J20" s="115">
        <f>IF(ISNUMBER(SEARCH('Карта учёта'!$B$18,Расходка[[#This Row],[Наименование расходного материала]])),MAX($J$1:J19)+1,0)</f>
        <v>0</v>
      </c>
      <c r="K20" s="115">
        <f>IF(ISNUMBER(SEARCH('Карта учёта'!$B$19,Расходка[[#This Row],[Наименование расходного материала]])),MAX($K$1:K19)+1,0)</f>
        <v>19</v>
      </c>
      <c r="L20" s="115">
        <f>IF(ISNUMBER(SEARCH('Карта учёта'!$B$20,Расходка[[#This Row],[Наименование расходного материала]])),MAX($L$1:L19)+1,0)</f>
        <v>19</v>
      </c>
      <c r="M20" s="115">
        <f>IF(ISNUMBER(SEARCH('Карта учёта'!$B$21,Расходка[[#This Row],[Наименование расходного материала]])),MAX($M$1:M19)+1,0)</f>
        <v>19</v>
      </c>
      <c r="N20" s="115">
        <f>IF(ISNUMBER(SEARCH('Карта учёта'!$B$22,Расходка[[#This Row],[Наименование расходного материала]])),MAX($N$1:N19)+1,0)</f>
        <v>19</v>
      </c>
      <c r="O20" s="115">
        <f>IF(ISNUMBER(SEARCH('Карта учёта'!$B$23,Расходка[[#This Row],[Наименование расходного материала]])),MAX($O$1:O19)+1,0)</f>
        <v>19</v>
      </c>
      <c r="P20" s="115">
        <f>IF(ISNUMBER(SEARCH('Карта учёта'!$B$24,Расходка[[#This Row],[Наименование расходного материала]])),MAX($P$1:P19)+1,0)</f>
        <v>19</v>
      </c>
      <c r="Q20" s="115">
        <f>IF(ISNUMBER(SEARCH('Карта учёта'!$B$25,Расходка[[#This Row],[Наименование расходного материала]])),MAX($Q$1:Q19)+1,0)</f>
        <v>19</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
      </c>
      <c r="U20" s="114" t="str">
        <f>IFERROR(INDEX(Расходка[Наименование расходного материала],MATCH(Расходка[[#This Row],[№]],Поиск_расходки[Индекс4],0)),"")</f>
        <v/>
      </c>
      <c r="V20" s="114" t="str">
        <f>IFERROR(INDEX(Расходка[Наименование расходного материала],MATCH(Расходка[[#This Row],[№]],Поиск_расходки[Индекс5],0)),"")</f>
        <v/>
      </c>
      <c r="W20" s="114" t="str">
        <f>IFERROR(INDEX(Расходка[Наименование расходного материала],MATCH(Расходка[[#This Row],[№]],Поиск_расходки[Индекс6],0)),"")</f>
        <v/>
      </c>
      <c r="X20" s="114" t="str">
        <f>IFERROR(INDEX(Расходка[Наименование расходного материала],MATCH(Расходка[[#This Row],[№]],Поиск_расходки[Индекс7],0)),"")</f>
        <v>Lepu Medical</v>
      </c>
      <c r="Y20" s="114" t="str">
        <f>IFERROR(INDEX(Расходка[Наименование расходного материала],MATCH(Расходка[[#This Row],[№]],Поиск_расходки[Индекс8],0)),"")</f>
        <v>Lepu Medical</v>
      </c>
      <c r="Z20" s="114" t="str">
        <f>IFERROR(INDEX(Расходка[Наименование расходного материала],MATCH(Расходка[[#This Row],[№]],Поиск_расходки[Индекс9],0)),"")</f>
        <v>Lepu Medical</v>
      </c>
      <c r="AA20" s="114" t="str">
        <f>IFERROR(INDEX(Расходка[Наименование расходного материала],MATCH(Расходка[[#This Row],[№]],Поиск_расходки[Индекс10],0)),"")</f>
        <v>Lepu Medical</v>
      </c>
      <c r="AB20" s="114" t="str">
        <f>IFERROR(INDEX(Расходка[Наименование расходного материала],MATCH(Расходка[[#This Row],[№]],Поиск_расходки[Индекс11],0)),"")</f>
        <v>Lepu Medical</v>
      </c>
      <c r="AC20" s="114" t="str">
        <f>IFERROR(INDEX(Расходка[Наименование расходного материала],MATCH(Расходка[[#This Row],[№]],Поиск_расходки[Индекс12],0)),"")</f>
        <v>Lepu Medical</v>
      </c>
      <c r="AD20" s="114" t="str">
        <f>IFERROR(INDEX(Расходка[Наименование расходного материала],MATCH(Расходка[[#This Row],[№]],Поиск_расходки[Индекс13],0)),"")</f>
        <v>Lepu Medical</v>
      </c>
      <c r="AF20" s="4" t="s">
        <v>5</v>
      </c>
      <c r="AG20" s="4" t="s">
        <v>417</v>
      </c>
      <c r="AI20" t="s">
        <v>307</v>
      </c>
    </row>
    <row r="21" spans="1:35">
      <c r="A21">
        <f>ROW(Расходка[[#This Row],[Тип расходного материала ]])-1</f>
        <v>20</v>
      </c>
      <c r="B21" t="s">
        <v>305</v>
      </c>
      <c r="C21" t="s">
        <v>366</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0</v>
      </c>
      <c r="H21" s="115">
        <f>IF(ISNUMBER(SEARCH('Карта учёта'!$B$16,Расходка[[#This Row],[Наименование расходного материала]])),MAX($H$1:H20)+1,0)</f>
        <v>0</v>
      </c>
      <c r="I21" s="115">
        <f>IF(ISNUMBER(SEARCH('Карта учёта'!$B$17,Расходка[[#This Row],[Наименование расходного материала]])),MAX($I$1:I20)+1,0)</f>
        <v>0</v>
      </c>
      <c r="J21" s="115">
        <f>IF(ISNUMBER(SEARCH('Карта учёта'!$B$18,Расходка[[#This Row],[Наименование расходного материала]])),MAX($J$1:J20)+1,0)</f>
        <v>0</v>
      </c>
      <c r="K21" s="115">
        <f>IF(ISNUMBER(SEARCH('Карта учёта'!$B$19,Расходка[[#This Row],[Наименование расходного материала]])),MAX($K$1:K20)+1,0)</f>
        <v>20</v>
      </c>
      <c r="L21" s="115">
        <f>IF(ISNUMBER(SEARCH('Карта учёта'!$B$20,Расходка[[#This Row],[Наименование расходного материала]])),MAX($L$1:L20)+1,0)</f>
        <v>20</v>
      </c>
      <c r="M21" s="115">
        <f>IF(ISNUMBER(SEARCH('Карта учёта'!$B$21,Расходка[[#This Row],[Наименование расходного материала]])),MAX($M$1:M20)+1,0)</f>
        <v>20</v>
      </c>
      <c r="N21" s="115">
        <f>IF(ISNUMBER(SEARCH('Карта учёта'!$B$22,Расходка[[#This Row],[Наименование расходного материала]])),MAX($N$1:N20)+1,0)</f>
        <v>20</v>
      </c>
      <c r="O21" s="115">
        <f>IF(ISNUMBER(SEARCH('Карта учёта'!$B$23,Расходка[[#This Row],[Наименование расходного материала]])),MAX($O$1:O20)+1,0)</f>
        <v>20</v>
      </c>
      <c r="P21" s="115">
        <f>IF(ISNUMBER(SEARCH('Карта учёта'!$B$24,Расходка[[#This Row],[Наименование расходного материала]])),MAX($P$1:P20)+1,0)</f>
        <v>20</v>
      </c>
      <c r="Q21" s="115">
        <f>IF(ISNUMBER(SEARCH('Карта учёта'!$B$25,Расходка[[#This Row],[Наименование расходного материала]])),MAX($Q$1:Q20)+1,0)</f>
        <v>20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
      </c>
      <c r="U21" s="114" t="str">
        <f>IFERROR(INDEX(Расходка[Наименование расходного материала],MATCH(Расходка[[#This Row],[№]],Поиск_расходки[Индекс4],0)),"")</f>
        <v/>
      </c>
      <c r="V21" s="114" t="str">
        <f>IFERROR(INDEX(Расходка[Наименование расходного материала],MATCH(Расходка[[#This Row],[№]],Поиск_расходки[Индекс5],0)),"")</f>
        <v/>
      </c>
      <c r="W21" s="114" t="str">
        <f>IFERROR(INDEX(Расходка[Наименование расходного материала],MATCH(Расходка[[#This Row],[№]],Поиск_расходки[Индекс6],0)),"")</f>
        <v/>
      </c>
      <c r="X21" s="114" t="str">
        <f>IFERROR(INDEX(Расходка[Наименование расходного материала],MATCH(Расходка[[#This Row],[№]],Поиск_расходки[Индекс7],0)),"")</f>
        <v>Perouse Medical FLAMINGO</v>
      </c>
      <c r="Y21" s="114" t="str">
        <f>IFERROR(INDEX(Расходка[Наименование расходного материала],MATCH(Расходка[[#This Row],[№]],Поиск_расходки[Индекс8],0)),"")</f>
        <v>Perouse Medical FLAMINGO</v>
      </c>
      <c r="Z21" s="114" t="str">
        <f>IFERROR(INDEX(Расходка[Наименование расходного материала],MATCH(Расходка[[#This Row],[№]],Поиск_расходки[Индекс9],0)),"")</f>
        <v>Perouse Medical FLAMINGO</v>
      </c>
      <c r="AA21" s="114" t="str">
        <f>IFERROR(INDEX(Расходка[Наименование расходного материала],MATCH(Расходка[[#This Row],[№]],Поиск_расходки[Индекс10],0)),"")</f>
        <v>Perouse Medical FLAMINGO</v>
      </c>
      <c r="AB21" s="114" t="str">
        <f>IFERROR(INDEX(Расходка[Наименование расходного материала],MATCH(Расходка[[#This Row],[№]],Поиск_расходки[Индекс11],0)),"")</f>
        <v>Perouse Medical FLAMINGO</v>
      </c>
      <c r="AC21" s="114" t="str">
        <f>IFERROR(INDEX(Расходка[Наименование расходного материала],MATCH(Расходка[[#This Row],[№]],Поиск_расходки[Индекс12],0)),"")</f>
        <v>Perouse Medical FLAMINGO</v>
      </c>
      <c r="AD21" s="114" t="str">
        <f>IFERROR(INDEX(Расходка[Наименование расходного материала],MATCH(Расходка[[#This Row],[№]],Поиск_расходки[Индекс13],0)),"")</f>
        <v>Perouse Medical FLAMINGO</v>
      </c>
      <c r="AF21" s="4" t="s">
        <v>5</v>
      </c>
      <c r="AG21" s="4" t="s">
        <v>418</v>
      </c>
    </row>
    <row r="22" spans="1:35">
      <c r="A22">
        <f>ROW(Расходка[[#This Row],[Тип расходного материала ]])-1</f>
        <v>21</v>
      </c>
      <c r="B22" t="s">
        <v>305</v>
      </c>
      <c r="C22" t="s">
        <v>503</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0</v>
      </c>
      <c r="H22" s="115">
        <f>IF(ISNUMBER(SEARCH('Карта учёта'!$B$16,Расходка[[#This Row],[Наименование расходного материала]])),MAX($H$1:H21)+1,0)</f>
        <v>0</v>
      </c>
      <c r="I22" s="115">
        <f>IF(ISNUMBER(SEARCH('Карта учёта'!$B$17,Расходка[[#This Row],[Наименование расходного материала]])),MAX($I$1:I21)+1,0)</f>
        <v>0</v>
      </c>
      <c r="J22" s="115">
        <f>IF(ISNUMBER(SEARCH('Карта учёта'!$B$18,Расходка[[#This Row],[Наименование расходного материала]])),MAX($J$1:J21)+1,0)</f>
        <v>0</v>
      </c>
      <c r="K22" s="115">
        <f>IF(ISNUMBER(SEARCH('Карта учёта'!$B$19,Расходка[[#This Row],[Наименование расходного материала]])),MAX($K$1:K21)+1,0)</f>
        <v>21</v>
      </c>
      <c r="L22" s="115">
        <f>IF(ISNUMBER(SEARCH('Карта учёта'!$B$20,Расходка[[#This Row],[Наименование расходного материала]])),MAX($L$1:L21)+1,0)</f>
        <v>21</v>
      </c>
      <c r="M22" s="115">
        <f>IF(ISNUMBER(SEARCH('Карта учёта'!$B$21,Расходка[[#This Row],[Наименование расходного материала]])),MAX($M$1:M21)+1,0)</f>
        <v>21</v>
      </c>
      <c r="N22" s="115">
        <f>IF(ISNUMBER(SEARCH('Карта учёта'!$B$22,Расходка[[#This Row],[Наименование расходного материала]])),MAX($N$1:N21)+1,0)</f>
        <v>21</v>
      </c>
      <c r="O22" s="115">
        <f>IF(ISNUMBER(SEARCH('Карта учёта'!$B$23,Расходка[[#This Row],[Наименование расходного материала]])),MAX($O$1:O21)+1,0)</f>
        <v>21</v>
      </c>
      <c r="P22" s="115">
        <f>IF(ISNUMBER(SEARCH('Карта учёта'!$B$24,Расходка[[#This Row],[Наименование расходного материала]])),MAX($P$1:P21)+1,0)</f>
        <v>21</v>
      </c>
      <c r="Q22" s="115">
        <f>IF(ISNUMBER(SEARCH('Карта учёта'!$B$25,Расходка[[#This Row],[Наименование расходного материала]])),MAX($Q$1:Q21)+1,0)</f>
        <v>21</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
      </c>
      <c r="U22" s="114" t="str">
        <f>IFERROR(INDEX(Расходка[Наименование расходного материала],MATCH(Расходка[[#This Row],[№]],Поиск_расходки[Индекс4],0)),"")</f>
        <v/>
      </c>
      <c r="V22" s="114" t="str">
        <f>IFERROR(INDEX(Расходка[Наименование расходного материала],MATCH(Расходка[[#This Row],[№]],Поиск_расходки[Индекс5],0)),"")</f>
        <v/>
      </c>
      <c r="W22" s="114" t="str">
        <f>IFERROR(INDEX(Расходка[Наименование расходного материала],MATCH(Расходка[[#This Row],[№]],Поиск_расходки[Индекс6],0)),"")</f>
        <v/>
      </c>
      <c r="X22" s="114" t="str">
        <f>IFERROR(INDEX(Расходка[Наименование расходного материала],MATCH(Расходка[[#This Row],[№]],Поиск_расходки[Индекс7],0)),"")</f>
        <v>Demax</v>
      </c>
      <c r="Y22" s="114" t="str">
        <f>IFERROR(INDEX(Расходка[Наименование расходного материала],MATCH(Расходка[[#This Row],[№]],Поиск_расходки[Индекс8],0)),"")</f>
        <v>Demax</v>
      </c>
      <c r="Z22" s="114" t="str">
        <f>IFERROR(INDEX(Расходка[Наименование расходного материала],MATCH(Расходка[[#This Row],[№]],Поиск_расходки[Индекс9],0)),"")</f>
        <v>Demax</v>
      </c>
      <c r="AA22" s="114" t="str">
        <f>IFERROR(INDEX(Расходка[Наименование расходного материала],MATCH(Расходка[[#This Row],[№]],Поиск_расходки[Индекс10],0)),"")</f>
        <v>Demax</v>
      </c>
      <c r="AB22" s="114" t="str">
        <f>IFERROR(INDEX(Расходка[Наименование расходного материала],MATCH(Расходка[[#This Row],[№]],Поиск_расходки[Индекс11],0)),"")</f>
        <v>Demax</v>
      </c>
      <c r="AC22" s="114" t="str">
        <f>IFERROR(INDEX(Расходка[Наименование расходного материала],MATCH(Расходка[[#This Row],[№]],Поиск_расходки[Индекс12],0)),"")</f>
        <v>Demax</v>
      </c>
      <c r="AD22" s="114" t="str">
        <f>IFERROR(INDEX(Расходка[Наименование расходного материала],MATCH(Расходка[[#This Row],[№]],Поиск_расходки[Индекс13],0)),"")</f>
        <v>Demax</v>
      </c>
      <c r="AF22" s="4" t="s">
        <v>5</v>
      </c>
      <c r="AG22" s="4" t="s">
        <v>419</v>
      </c>
    </row>
    <row r="23" spans="1:35">
      <c r="A23">
        <f>ROW(Расходка[[#This Row],[Тип расходного материала ]])-1</f>
        <v>22</v>
      </c>
      <c r="B23" t="s">
        <v>206</v>
      </c>
      <c r="C23" s="1" t="s">
        <v>337</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0</v>
      </c>
      <c r="H23" s="115">
        <f>IF(ISNUMBER(SEARCH('Карта учёта'!$B$16,Расходка[[#This Row],[Наименование расходного материала]])),MAX($H$1:H22)+1,0)</f>
        <v>0</v>
      </c>
      <c r="I23" s="115">
        <f>IF(ISNUMBER(SEARCH('Карта учёта'!$B$17,Расходка[[#This Row],[Наименование расходного материала]])),MAX($I$1:I22)+1,0)</f>
        <v>0</v>
      </c>
      <c r="J23" s="115">
        <f>IF(ISNUMBER(SEARCH('Карта учёта'!$B$18,Расходка[[#This Row],[Наименование расходного материала]])),MAX($J$1:J22)+1,0)</f>
        <v>0</v>
      </c>
      <c r="K23" s="115">
        <f>IF(ISNUMBER(SEARCH('Карта учёта'!$B$19,Расходка[[#This Row],[Наименование расходного материала]])),MAX($K$1:K22)+1,0)</f>
        <v>22</v>
      </c>
      <c r="L23" s="115">
        <f>IF(ISNUMBER(SEARCH('Карта учёта'!$B$20,Расходка[[#This Row],[Наименование расходного материала]])),MAX($L$1:L22)+1,0)</f>
        <v>22</v>
      </c>
      <c r="M23" s="115">
        <f>IF(ISNUMBER(SEARCH('Карта учёта'!$B$21,Расходка[[#This Row],[Наименование расходного материала]])),MAX($M$1:M22)+1,0)</f>
        <v>22</v>
      </c>
      <c r="N23" s="115">
        <f>IF(ISNUMBER(SEARCH('Карта учёта'!$B$22,Расходка[[#This Row],[Наименование расходного материала]])),MAX($N$1:N22)+1,0)</f>
        <v>22</v>
      </c>
      <c r="O23" s="115">
        <f>IF(ISNUMBER(SEARCH('Карта учёта'!$B$23,Расходка[[#This Row],[Наименование расходного материала]])),MAX($O$1:O22)+1,0)</f>
        <v>22</v>
      </c>
      <c r="P23" s="115">
        <f>IF(ISNUMBER(SEARCH('Карта учёта'!$B$24,Расходка[[#This Row],[Наименование расходного материала]])),MAX($P$1:P22)+1,0)</f>
        <v>22</v>
      </c>
      <c r="Q23" s="115">
        <f>IF(ISNUMBER(SEARCH('Карта учёта'!$B$25,Расходка[[#This Row],[Наименование расходного материала]])),MAX($Q$1:Q22)+1,0)</f>
        <v>22</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
      </c>
      <c r="U23" s="114" t="str">
        <f>IFERROR(INDEX(Расходка[Наименование расходного материала],MATCH(Расходка[[#This Row],[№]],Поиск_расходки[Индекс4],0)),"")</f>
        <v/>
      </c>
      <c r="V23" s="114" t="str">
        <f>IFERROR(INDEX(Расходка[Наименование расходного материала],MATCH(Расходка[[#This Row],[№]],Поиск_расходки[Индекс5],0)),"")</f>
        <v/>
      </c>
      <c r="W23" s="114" t="str">
        <f>IFERROR(INDEX(Расходка[Наименование расходного материала],MATCH(Расходка[[#This Row],[№]],Поиск_расходки[Индекс6],0)),"")</f>
        <v/>
      </c>
      <c r="X23" s="114" t="str">
        <f>IFERROR(INDEX(Расходка[Наименование расходного материала],MATCH(Расходка[[#This Row],[№]],Поиск_расходки[Индекс7],0)),"")</f>
        <v>Oscor 7F</v>
      </c>
      <c r="Y23" s="114" t="str">
        <f>IFERROR(INDEX(Расходка[Наименование расходного материала],MATCH(Расходка[[#This Row],[№]],Поиск_расходки[Индекс8],0)),"")</f>
        <v>Oscor 7F</v>
      </c>
      <c r="Z23" s="114" t="str">
        <f>IFERROR(INDEX(Расходка[Наименование расходного материала],MATCH(Расходка[[#This Row],[№]],Поиск_расходки[Индекс9],0)),"")</f>
        <v>Oscor 7F</v>
      </c>
      <c r="AA23" s="114" t="str">
        <f>IFERROR(INDEX(Расходка[Наименование расходного материала],MATCH(Расходка[[#This Row],[№]],Поиск_расходки[Индекс10],0)),"")</f>
        <v>Oscor 7F</v>
      </c>
      <c r="AB23" s="114" t="str">
        <f>IFERROR(INDEX(Расходка[Наименование расходного материала],MATCH(Расходка[[#This Row],[№]],Поиск_расходки[Индекс11],0)),"")</f>
        <v>Oscor 7F</v>
      </c>
      <c r="AC23" s="114" t="str">
        <f>IFERROR(INDEX(Расходка[Наименование расходного материала],MATCH(Расходка[[#This Row],[№]],Поиск_расходки[Индекс12],0)),"")</f>
        <v>Oscor 7F</v>
      </c>
      <c r="AD23" s="114" t="str">
        <f>IFERROR(INDEX(Расходка[Наименование расходного материала],MATCH(Расходка[[#This Row],[№]],Поиск_расходки[Индекс13],0)),"")</f>
        <v>Oscor 7F</v>
      </c>
      <c r="AF23" s="4" t="s">
        <v>5</v>
      </c>
      <c r="AG23" s="4" t="s">
        <v>420</v>
      </c>
    </row>
    <row r="24" spans="1:35">
      <c r="A24">
        <f>ROW(Расходка[[#This Row],[Тип расходного материала ]])-1</f>
        <v>23</v>
      </c>
      <c r="B24" t="s">
        <v>305</v>
      </c>
      <c r="C24" s="1" t="s">
        <v>505</v>
      </c>
      <c r="E24" s="115">
        <f>IF(ISNUMBER(SEARCH('Карта учёта'!$B$13,Расходка[[#This Row],[Наименование расходного материала]])),MAX($E$1:E23)+1,0)</f>
        <v>0</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0</v>
      </c>
      <c r="H24" s="115">
        <f>IF(ISNUMBER(SEARCH('Карта учёта'!$B$16,Расходка[[#This Row],[Наименование расходного материала]])),MAX($H$1:H23)+1,0)</f>
        <v>0</v>
      </c>
      <c r="I24" s="115">
        <f>IF(ISNUMBER(SEARCH('Карта учёта'!$B$17,Расходка[[#This Row],[Наименование расходного материала]])),MAX($I$1:I23)+1,0)</f>
        <v>0</v>
      </c>
      <c r="J24" s="115">
        <f>IF(ISNUMBER(SEARCH('Карта учёта'!$B$18,Расходка[[#This Row],[Наименование расходного материала]])),MAX($J$1:J23)+1,0)</f>
        <v>0</v>
      </c>
      <c r="K24" s="115">
        <f>IF(ISNUMBER(SEARCH('Карта учёта'!$B$19,Расходка[[#This Row],[Наименование расходного материала]])),MAX($K$1:K23)+1,0)</f>
        <v>23</v>
      </c>
      <c r="L24" s="115">
        <f>IF(ISNUMBER(SEARCH('Карта учёта'!$B$20,Расходка[[#This Row],[Наименование расходного материала]])),MAX($L$1:L23)+1,0)</f>
        <v>23</v>
      </c>
      <c r="M24" s="115">
        <f>IF(ISNUMBER(SEARCH('Карта учёта'!$B$21,Расходка[[#This Row],[Наименование расходного материала]])),MAX($M$1:M23)+1,0)</f>
        <v>23</v>
      </c>
      <c r="N24" s="115">
        <f>IF(ISNUMBER(SEARCH('Карта учёта'!$B$22,Расходка[[#This Row],[Наименование расходного материала]])),MAX($N$1:N23)+1,0)</f>
        <v>23</v>
      </c>
      <c r="O24" s="115">
        <f>IF(ISNUMBER(SEARCH('Карта учёта'!$B$23,Расходка[[#This Row],[Наименование расходного материала]])),MAX($O$1:O23)+1,0)</f>
        <v>23</v>
      </c>
      <c r="P24" s="115">
        <f>IF(ISNUMBER(SEARCH('Карта учёта'!$B$24,Расходка[[#This Row],[Наименование расходного материала]])),MAX($P$1:P23)+1,0)</f>
        <v>23</v>
      </c>
      <c r="Q24" s="115">
        <f>IF(ISNUMBER(SEARCH('Карта учёта'!$B$25,Расходка[[#This Row],[Наименование расходного материала]])),MAX($Q$1:Q23)+1,0)</f>
        <v>23</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
      </c>
      <c r="U24" s="114" t="str">
        <f>IFERROR(INDEX(Расходка[Наименование расходного материала],MATCH(Расходка[[#This Row],[№]],Поиск_расходки[Индекс4],0)),"")</f>
        <v/>
      </c>
      <c r="V24" s="114" t="str">
        <f>IFERROR(INDEX(Расходка[Наименование расходного материала],MATCH(Расходка[[#This Row],[№]],Поиск_расходки[Индекс5],0)),"")</f>
        <v/>
      </c>
      <c r="W24" s="114" t="str">
        <f>IFERROR(INDEX(Расходка[Наименование расходного материала],MATCH(Расходка[[#This Row],[№]],Поиск_расходки[Индекс6],0)),"")</f>
        <v/>
      </c>
      <c r="X24" s="114" t="str">
        <f>IFERROR(INDEX(Расходка[Наименование расходного материала],MATCH(Расходка[[#This Row],[№]],Поиск_расходки[Индекс7],0)),"")</f>
        <v>"МИМ". Тюмень</v>
      </c>
      <c r="Y24" s="114" t="str">
        <f>IFERROR(INDEX(Расходка[Наименование расходного материала],MATCH(Расходка[[#This Row],[№]],Поиск_расходки[Индекс8],0)),"")</f>
        <v>"МИМ". Тюмень</v>
      </c>
      <c r="Z24" s="114" t="str">
        <f>IFERROR(INDEX(Расходка[Наименование расходного материала],MATCH(Расходка[[#This Row],[№]],Поиск_расходки[Индекс9],0)),"")</f>
        <v>"МИМ". Тюмень</v>
      </c>
      <c r="AA24" s="114" t="str">
        <f>IFERROR(INDEX(Расходка[Наименование расходного материала],MATCH(Расходка[[#This Row],[№]],Поиск_расходки[Индекс10],0)),"")</f>
        <v>"МИМ". Тюмень</v>
      </c>
      <c r="AB24" s="114" t="str">
        <f>IFERROR(INDEX(Расходка[Наименование расходного материала],MATCH(Расходка[[#This Row],[№]],Поиск_расходки[Индекс11],0)),"")</f>
        <v>"МИМ". Тюмень</v>
      </c>
      <c r="AC24" s="114" t="str">
        <f>IFERROR(INDEX(Расходка[Наименование расходного материала],MATCH(Расходка[[#This Row],[№]],Поиск_расходки[Индекс12],0)),"")</f>
        <v>"МИМ". Тюмень</v>
      </c>
      <c r="AD24" s="114" t="str">
        <f>IFERROR(INDEX(Расходка[Наименование расходного материала],MATCH(Расходка[[#This Row],[№]],Поиск_расходки[Индекс13],0)),"")</f>
        <v>"МИМ". Тюмень</v>
      </c>
      <c r="AF24" s="4" t="s">
        <v>5</v>
      </c>
      <c r="AG24" s="4" t="s">
        <v>421</v>
      </c>
    </row>
    <row r="25" spans="1:35">
      <c r="A25">
        <f>ROW(Расходка[[#This Row],[Тип расходного материала ]])-1</f>
        <v>24</v>
      </c>
      <c r="B25" t="s">
        <v>305</v>
      </c>
      <c r="C25" s="1" t="s">
        <v>507</v>
      </c>
      <c r="E25" s="115">
        <f>IF(ISNUMBER(SEARCH('Карта учёта'!$B$13,Расходка[[#This Row],[Наименование расходного материала]])),MAX($E$1:E24)+1,0)</f>
        <v>0</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0</v>
      </c>
      <c r="H25" s="115">
        <f>IF(ISNUMBER(SEARCH('Карта учёта'!$B$16,Расходка[[#This Row],[Наименование расходного материала]])),MAX($H$1:H24)+1,0)</f>
        <v>0</v>
      </c>
      <c r="I25" s="115">
        <f>IF(ISNUMBER(SEARCH('Карта учёта'!$B$17,Расходка[[#This Row],[Наименование расходного материала]])),MAX($I$1:I24)+1,0)</f>
        <v>0</v>
      </c>
      <c r="J25" s="115">
        <f>IF(ISNUMBER(SEARCH('Карта учёта'!$B$18,Расходка[[#This Row],[Наименование расходного материала]])),MAX($J$1:J24)+1,0)</f>
        <v>0</v>
      </c>
      <c r="K25" s="115">
        <f>IF(ISNUMBER(SEARCH('Карта учёта'!$B$19,Расходка[[#This Row],[Наименование расходного материала]])),MAX($K$1:K24)+1,0)</f>
        <v>24</v>
      </c>
      <c r="L25" s="115">
        <f>IF(ISNUMBER(SEARCH('Карта учёта'!$B$20,Расходка[[#This Row],[Наименование расходного материала]])),MAX($L$1:L24)+1,0)</f>
        <v>24</v>
      </c>
      <c r="M25" s="115">
        <f>IF(ISNUMBER(SEARCH('Карта учёта'!$B$21,Расходка[[#This Row],[Наименование расходного материала]])),MAX($M$1:M24)+1,0)</f>
        <v>24</v>
      </c>
      <c r="N25" s="115">
        <f>IF(ISNUMBER(SEARCH('Карта учёта'!$B$22,Расходка[[#This Row],[Наименование расходного материала]])),MAX($N$1:N24)+1,0)</f>
        <v>24</v>
      </c>
      <c r="O25" s="115">
        <f>IF(ISNUMBER(SEARCH('Карта учёта'!$B$23,Расходка[[#This Row],[Наименование расходного материала]])),MAX($O$1:O24)+1,0)</f>
        <v>24</v>
      </c>
      <c r="P25" s="115">
        <f>IF(ISNUMBER(SEARCH('Карта учёта'!$B$24,Расходка[[#This Row],[Наименование расходного материала]])),MAX($P$1:P24)+1,0)</f>
        <v>24</v>
      </c>
      <c r="Q25" s="115">
        <f>IF(ISNUMBER(SEARCH('Карта учёта'!$B$25,Расходка[[#This Row],[Наименование расходного материала]])),MAX($Q$1:Q24)+1,0)</f>
        <v>24</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
      </c>
      <c r="U25" s="114" t="str">
        <f>IFERROR(INDEX(Расходка[Наименование расходного материала],MATCH(Расходка[[#This Row],[№]],Поиск_расходки[Индекс4],0)),"")</f>
        <v/>
      </c>
      <c r="V25" s="114" t="str">
        <f>IFERROR(INDEX(Расходка[Наименование расходного материала],MATCH(Расходка[[#This Row],[№]],Поиск_расходки[Индекс5],0)),"")</f>
        <v/>
      </c>
      <c r="W25" s="114" t="str">
        <f>IFERROR(INDEX(Расходка[Наименование расходного материала],MATCH(Расходка[[#This Row],[№]],Поиск_расходки[Индекс6],0)),"")</f>
        <v/>
      </c>
      <c r="X25" s="114" t="str">
        <f>IFERROR(INDEX(Расходка[Наименование расходного материала],MATCH(Расходка[[#This Row],[№]],Поиск_расходки[Индекс7],0)),"")</f>
        <v>Поток CTЗ по ТУ</v>
      </c>
      <c r="Y25" s="114" t="str">
        <f>IFERROR(INDEX(Расходка[Наименование расходного материала],MATCH(Расходка[[#This Row],[№]],Поиск_расходки[Индекс8],0)),"")</f>
        <v>Поток CTЗ по ТУ</v>
      </c>
      <c r="Z25" s="114" t="str">
        <f>IFERROR(INDEX(Расходка[Наименование расходного материала],MATCH(Расходка[[#This Row],[№]],Поиск_расходки[Индекс9],0)),"")</f>
        <v>Поток CTЗ по ТУ</v>
      </c>
      <c r="AA25" s="114" t="str">
        <f>IFERROR(INDEX(Расходка[Наименование расходного материала],MATCH(Расходка[[#This Row],[№]],Поиск_расходки[Индекс10],0)),"")</f>
        <v>Поток CTЗ по ТУ</v>
      </c>
      <c r="AB25" s="114" t="str">
        <f>IFERROR(INDEX(Расходка[Наименование расходного материала],MATCH(Расходка[[#This Row],[№]],Поиск_расходки[Индекс11],0)),"")</f>
        <v>Поток CTЗ по ТУ</v>
      </c>
      <c r="AC25" s="114" t="str">
        <f>IFERROR(INDEX(Расходка[Наименование расходного материала],MATCH(Расходка[[#This Row],[№]],Поиск_расходки[Индекс12],0)),"")</f>
        <v>Поток CTЗ по ТУ</v>
      </c>
      <c r="AD25" s="114" t="str">
        <f>IFERROR(INDEX(Расходка[Наименование расходного материала],MATCH(Расходка[[#This Row],[№]],Поиск_расходки[Индекс13],0)),"")</f>
        <v>Поток CTЗ по ТУ</v>
      </c>
      <c r="AF25" s="4" t="s">
        <v>5</v>
      </c>
      <c r="AG25" s="4" t="s">
        <v>422</v>
      </c>
    </row>
    <row r="26" spans="1:35">
      <c r="A26">
        <f>ROW(Расходка[[#This Row],[Тип расходного материала ]])-1</f>
        <v>25</v>
      </c>
      <c r="B26" t="s">
        <v>305</v>
      </c>
      <c r="C26" s="1" t="s">
        <v>305</v>
      </c>
      <c r="E26" s="115">
        <f>IF(ISNUMBER(SEARCH('Карта учёта'!$B$13,Расходка[[#This Row],[Наименование расходного материала]])),MAX($E$1:E25)+1,0)</f>
        <v>1</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0</v>
      </c>
      <c r="H26" s="115">
        <f>IF(ISNUMBER(SEARCH('Карта учёта'!$B$16,Расходка[[#This Row],[Наименование расходного материала]])),MAX($H$1:H25)+1,0)</f>
        <v>0</v>
      </c>
      <c r="I26" s="115">
        <f>IF(ISNUMBER(SEARCH('Карта учёта'!$B$17,Расходка[[#This Row],[Наименование расходного материала]])),MAX($I$1:I25)+1,0)</f>
        <v>0</v>
      </c>
      <c r="J26" s="115">
        <f>IF(ISNUMBER(SEARCH('Карта учёта'!$B$18,Расходка[[#This Row],[Наименование расходного материала]])),MAX($J$1:J25)+1,0)</f>
        <v>0</v>
      </c>
      <c r="K26" s="115">
        <f>IF(ISNUMBER(SEARCH('Карта учёта'!$B$19,Расходка[[#This Row],[Наименование расходного материала]])),MAX($K$1:K25)+1,0)</f>
        <v>25</v>
      </c>
      <c r="L26" s="115">
        <f>IF(ISNUMBER(SEARCH('Карта учёта'!$B$20,Расходка[[#This Row],[Наименование расходного материала]])),MAX($L$1:L25)+1,0)</f>
        <v>25</v>
      </c>
      <c r="M26" s="115">
        <f>IF(ISNUMBER(SEARCH('Карта учёта'!$B$21,Расходка[[#This Row],[Наименование расходного материала]])),MAX($M$1:M25)+1,0)</f>
        <v>25</v>
      </c>
      <c r="N26" s="115">
        <f>IF(ISNUMBER(SEARCH('Карта учёта'!$B$22,Расходка[[#This Row],[Наименование расходного материала]])),MAX($N$1:N25)+1,0)</f>
        <v>25</v>
      </c>
      <c r="O26" s="115">
        <f>IF(ISNUMBER(SEARCH('Карта учёта'!$B$23,Расходка[[#This Row],[Наименование расходного материала]])),MAX($O$1:O25)+1,0)</f>
        <v>25</v>
      </c>
      <c r="P26" s="115">
        <f>IF(ISNUMBER(SEARCH('Карта учёта'!$B$24,Расходка[[#This Row],[Наименование расходного материала]])),MAX($P$1:P25)+1,0)</f>
        <v>25</v>
      </c>
      <c r="Q26" s="115">
        <f>IF(ISNUMBER(SEARCH('Карта учёта'!$B$25,Расходка[[#This Row],[Наименование расходного материала]])),MAX($Q$1:Q25)+1,0)</f>
        <v>25</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
      </c>
      <c r="U26" s="114" t="str">
        <f>IFERROR(INDEX(Расходка[Наименование расходного материала],MATCH(Расходка[[#This Row],[№]],Поиск_расходки[Индекс4],0)),"")</f>
        <v/>
      </c>
      <c r="V26" s="114" t="str">
        <f>IFERROR(INDEX(Расходка[Наименование расходного материала],MATCH(Расходка[[#This Row],[№]],Поиск_расходки[Индекс5],0)),"")</f>
        <v/>
      </c>
      <c r="W26" s="114" t="str">
        <f>IFERROR(INDEX(Расходка[Наименование расходного материала],MATCH(Расходка[[#This Row],[№]],Поиск_расходки[Индекс6],0)),"")</f>
        <v/>
      </c>
      <c r="X26" s="114" t="str">
        <f>IFERROR(INDEX(Расходка[Наименование расходного материала],MATCH(Расходка[[#This Row],[№]],Поиск_расходки[Индекс7],0)),"")</f>
        <v>Индефлятор</v>
      </c>
      <c r="Y26" s="114" t="str">
        <f>IFERROR(INDEX(Расходка[Наименование расходного материала],MATCH(Расходка[[#This Row],[№]],Поиск_расходки[Индекс8],0)),"")</f>
        <v>Индефлятор</v>
      </c>
      <c r="Z26" s="114" t="str">
        <f>IFERROR(INDEX(Расходка[Наименование расходного материала],MATCH(Расходка[[#This Row],[№]],Поиск_расходки[Индекс9],0)),"")</f>
        <v>Индефлятор</v>
      </c>
      <c r="AA26" s="114" t="str">
        <f>IFERROR(INDEX(Расходка[Наименование расходного материала],MATCH(Расходка[[#This Row],[№]],Поиск_расходки[Индекс10],0)),"")</f>
        <v>Индефлятор</v>
      </c>
      <c r="AB26" s="114" t="str">
        <f>IFERROR(INDEX(Расходка[Наименование расходного материала],MATCH(Расходка[[#This Row],[№]],Поиск_расходки[Индекс11],0)),"")</f>
        <v>Индефлятор</v>
      </c>
      <c r="AC26" s="114" t="str">
        <f>IFERROR(INDEX(Расходка[Наименование расходного материала],MATCH(Расходка[[#This Row],[№]],Поиск_расходки[Индекс12],0)),"")</f>
        <v>Индефлятор</v>
      </c>
      <c r="AD26" s="114" t="str">
        <f>IFERROR(INDEX(Расходка[Наименование расходного материала],MATCH(Расходка[[#This Row],[№]],Поиск_расходки[Индекс13],0)),"")</f>
        <v>Индефлятор</v>
      </c>
      <c r="AF26" s="4" t="s">
        <v>5</v>
      </c>
      <c r="AG26" s="4" t="s">
        <v>423</v>
      </c>
    </row>
    <row r="27" spans="1:35">
      <c r="A27">
        <f>ROW(Расходка[[#This Row],[Тип расходного материала ]])-1</f>
        <v>26</v>
      </c>
      <c r="B27" t="s">
        <v>3</v>
      </c>
      <c r="C27" t="s">
        <v>320</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0</v>
      </c>
      <c r="H27" s="115">
        <f>IF(ISNUMBER(SEARCH('Карта учёта'!$B$16,Расходка[[#This Row],[Наименование расходного материала]])),MAX($H$1:H26)+1,0)</f>
        <v>0</v>
      </c>
      <c r="I27" s="115">
        <f>IF(ISNUMBER(SEARCH('Карта учёта'!$B$17,Расходка[[#This Row],[Наименование расходного материала]])),MAX($I$1:I26)+1,0)</f>
        <v>0</v>
      </c>
      <c r="J27" s="115">
        <f>IF(ISNUMBER(SEARCH('Карта учёта'!$B$18,Расходка[[#This Row],[Наименование расходного материала]])),MAX($J$1:J26)+1,0)</f>
        <v>0</v>
      </c>
      <c r="K27" s="115">
        <f>IF(ISNUMBER(SEARCH('Карта учёта'!$B$19,Расходка[[#This Row],[Наименование расходного материала]])),MAX($K$1:K26)+1,0)</f>
        <v>26</v>
      </c>
      <c r="L27" s="115">
        <f>IF(ISNUMBER(SEARCH('Карта учёта'!$B$20,Расходка[[#This Row],[Наименование расходного материала]])),MAX($L$1:L26)+1,0)</f>
        <v>26</v>
      </c>
      <c r="M27" s="115">
        <f>IF(ISNUMBER(SEARCH('Карта учёта'!$B$21,Расходка[[#This Row],[Наименование расходного материала]])),MAX($M$1:M26)+1,0)</f>
        <v>26</v>
      </c>
      <c r="N27" s="115">
        <f>IF(ISNUMBER(SEARCH('Карта учёта'!$B$22,Расходка[[#This Row],[Наименование расходного материала]])),MAX($N$1:N26)+1,0)</f>
        <v>26</v>
      </c>
      <c r="O27" s="115">
        <f>IF(ISNUMBER(SEARCH('Карта учёта'!$B$23,Расходка[[#This Row],[Наименование расходного материала]])),MAX($O$1:O26)+1,0)</f>
        <v>26</v>
      </c>
      <c r="P27" s="115">
        <f>IF(ISNUMBER(SEARCH('Карта учёта'!$B$24,Расходка[[#This Row],[Наименование расходного материала]])),MAX($P$1:P26)+1,0)</f>
        <v>26</v>
      </c>
      <c r="Q27" s="115">
        <f>IF(ISNUMBER(SEARCH('Карта учёта'!$B$25,Расходка[[#This Row],[Наименование расходного материала]])),MAX($Q$1:Q26)+1,0)</f>
        <v>26</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
      </c>
      <c r="U27" s="114" t="str">
        <f>IFERROR(INDEX(Расходка[Наименование расходного материала],MATCH(Расходка[[#This Row],[№]],Поиск_расходки[Индекс4],0)),"")</f>
        <v/>
      </c>
      <c r="V27" s="114" t="str">
        <f>IFERROR(INDEX(Расходка[Наименование расходного материала],MATCH(Расходка[[#This Row],[№]],Поиск_расходки[Индекс5],0)),"")</f>
        <v/>
      </c>
      <c r="W27" s="114" t="str">
        <f>IFERROR(INDEX(Расходка[Наименование расходного материала],MATCH(Расходка[[#This Row],[№]],Поиск_расходки[Индекс6],0)),"")</f>
        <v/>
      </c>
      <c r="X27" s="114" t="str">
        <f>IFERROR(INDEX(Расходка[Наименование расходного материала],MATCH(Расходка[[#This Row],[№]],Поиск_расходки[Индекс7],0)),"")</f>
        <v>Cougar LS Hydro-Track®</v>
      </c>
      <c r="Y27" s="114" t="str">
        <f>IFERROR(INDEX(Расходка[Наименование расходного материала],MATCH(Расходка[[#This Row],[№]],Поиск_расходки[Индекс8],0)),"")</f>
        <v>Cougar LS Hydro-Track®</v>
      </c>
      <c r="Z27" s="114" t="str">
        <f>IFERROR(INDEX(Расходка[Наименование расходного материала],MATCH(Расходка[[#This Row],[№]],Поиск_расходки[Индекс9],0)),"")</f>
        <v>Cougar LS Hydro-Track®</v>
      </c>
      <c r="AA27" s="114" t="str">
        <f>IFERROR(INDEX(Расходка[Наименование расходного материала],MATCH(Расходка[[#This Row],[№]],Поиск_расходки[Индекс10],0)),"")</f>
        <v>Cougar LS Hydro-Track®</v>
      </c>
      <c r="AB27" s="114" t="str">
        <f>IFERROR(INDEX(Расходка[Наименование расходного материала],MATCH(Расходка[[#This Row],[№]],Поиск_расходки[Индекс11],0)),"")</f>
        <v>Cougar LS Hydro-Track®</v>
      </c>
      <c r="AC27" s="114" t="str">
        <f>IFERROR(INDEX(Расходка[Наименование расходного материала],MATCH(Расходка[[#This Row],[№]],Поиск_расходки[Индекс12],0)),"")</f>
        <v>Cougar LS Hydro-Track®</v>
      </c>
      <c r="AD27" s="114" t="str">
        <f>IFERROR(INDEX(Расходка[Наименование расходного материала],MATCH(Расходка[[#This Row],[№]],Поиск_расходки[Индекс13],0)),"")</f>
        <v>Cougar LS Hydro-Track®</v>
      </c>
      <c r="AF27" s="4" t="s">
        <v>5</v>
      </c>
      <c r="AG27" s="4" t="s">
        <v>424</v>
      </c>
    </row>
    <row r="28" spans="1:35">
      <c r="A28">
        <f>ROW(Расходка[[#This Row],[Тип расходного материала ]])-1</f>
        <v>27</v>
      </c>
      <c r="B28" t="s">
        <v>3</v>
      </c>
      <c r="C28" t="s">
        <v>341</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0</v>
      </c>
      <c r="H28" s="115">
        <f>IF(ISNUMBER(SEARCH('Карта учёта'!$B$16,Расходка[[#This Row],[Наименование расходного материала]])),MAX($H$1:H27)+1,0)</f>
        <v>0</v>
      </c>
      <c r="I28" s="115">
        <f>IF(ISNUMBER(SEARCH('Карта учёта'!$B$17,Расходка[[#This Row],[Наименование расходного материала]])),MAX($I$1:I27)+1,0)</f>
        <v>0</v>
      </c>
      <c r="J28" s="115">
        <f>IF(ISNUMBER(SEARCH('Карта учёта'!$B$18,Расходка[[#This Row],[Наименование расходного материала]])),MAX($J$1:J27)+1,0)</f>
        <v>0</v>
      </c>
      <c r="K28" s="115">
        <f>IF(ISNUMBER(SEARCH('Карта учёта'!$B$19,Расходка[[#This Row],[Наименование расходного материала]])),MAX($K$1:K27)+1,0)</f>
        <v>27</v>
      </c>
      <c r="L28" s="115">
        <f>IF(ISNUMBER(SEARCH('Карта учёта'!$B$20,Расходка[[#This Row],[Наименование расходного материала]])),MAX($L$1:L27)+1,0)</f>
        <v>27</v>
      </c>
      <c r="M28" s="115">
        <f>IF(ISNUMBER(SEARCH('Карта учёта'!$B$21,Расходка[[#This Row],[Наименование расходного материала]])),MAX($M$1:M27)+1,0)</f>
        <v>27</v>
      </c>
      <c r="N28" s="115">
        <f>IF(ISNUMBER(SEARCH('Карта учёта'!$B$22,Расходка[[#This Row],[Наименование расходного материала]])),MAX($N$1:N27)+1,0)</f>
        <v>27</v>
      </c>
      <c r="O28" s="115">
        <f>IF(ISNUMBER(SEARCH('Карта учёта'!$B$23,Расходка[[#This Row],[Наименование расходного материала]])),MAX($O$1:O27)+1,0)</f>
        <v>27</v>
      </c>
      <c r="P28" s="115">
        <f>IF(ISNUMBER(SEARCH('Карта учёта'!$B$24,Расходка[[#This Row],[Наименование расходного материала]])),MAX($P$1:P27)+1,0)</f>
        <v>27</v>
      </c>
      <c r="Q28" s="115">
        <f>IF(ISNUMBER(SEARCH('Карта учёта'!$B$25,Расходка[[#This Row],[Наименование расходного материала]])),MAX($Q$1:Q27)+1,0)</f>
        <v>27</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
      </c>
      <c r="U28" s="114" t="str">
        <f>IFERROR(INDEX(Расходка[Наименование расходного материала],MATCH(Расходка[[#This Row],[№]],Поиск_расходки[Индекс4],0)),"")</f>
        <v/>
      </c>
      <c r="V28" s="114" t="str">
        <f>IFERROR(INDEX(Расходка[Наименование расходного материала],MATCH(Расходка[[#This Row],[№]],Поиск_расходки[Индекс5],0)),"")</f>
        <v/>
      </c>
      <c r="W28" s="114" t="str">
        <f>IFERROR(INDEX(Расходка[Наименование расходного материала],MATCH(Расходка[[#This Row],[№]],Поиск_расходки[Индекс6],0)),"")</f>
        <v/>
      </c>
      <c r="X28" s="114" t="str">
        <f>IFERROR(INDEX(Расходка[Наименование расходного материала],MATCH(Расходка[[#This Row],[№]],Поиск_расходки[Индекс7],0)),"")</f>
        <v>Cougar XT Hydro-Track®</v>
      </c>
      <c r="Y28" s="114" t="str">
        <f>IFERROR(INDEX(Расходка[Наименование расходного материала],MATCH(Расходка[[#This Row],[№]],Поиск_расходки[Индекс8],0)),"")</f>
        <v>Cougar XT Hydro-Track®</v>
      </c>
      <c r="Z28" s="114" t="str">
        <f>IFERROR(INDEX(Расходка[Наименование расходного материала],MATCH(Расходка[[#This Row],[№]],Поиск_расходки[Индекс9],0)),"")</f>
        <v>Cougar XT Hydro-Track®</v>
      </c>
      <c r="AA28" s="114" t="str">
        <f>IFERROR(INDEX(Расходка[Наименование расходного материала],MATCH(Расходка[[#This Row],[№]],Поиск_расходки[Индекс10],0)),"")</f>
        <v>Cougar XT Hydro-Track®</v>
      </c>
      <c r="AB28" s="114" t="str">
        <f>IFERROR(INDEX(Расходка[Наименование расходного материала],MATCH(Расходка[[#This Row],[№]],Поиск_расходки[Индекс11],0)),"")</f>
        <v>Cougar XT Hydro-Track®</v>
      </c>
      <c r="AC28" s="114" t="str">
        <f>IFERROR(INDEX(Расходка[Наименование расходного материала],MATCH(Расходка[[#This Row],[№]],Поиск_расходки[Индекс12],0)),"")</f>
        <v>Cougar XT Hydro-Track®</v>
      </c>
      <c r="AD28" s="114" t="str">
        <f>IFERROR(INDEX(Расходка[Наименование расходного материала],MATCH(Расходка[[#This Row],[№]],Поиск_расходки[Индекс13],0)),"")</f>
        <v>Cougar XT Hydro-Track®</v>
      </c>
      <c r="AF28" s="4" t="s">
        <v>5</v>
      </c>
      <c r="AG28" s="4" t="s">
        <v>425</v>
      </c>
    </row>
    <row r="29" spans="1:35">
      <c r="A29">
        <f>ROW(Расходка[[#This Row],[Тип расходного материала ]])-1</f>
        <v>28</v>
      </c>
      <c r="B29" t="s">
        <v>3</v>
      </c>
      <c r="C29" t="s">
        <v>313</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0</v>
      </c>
      <c r="H29" s="115">
        <f>IF(ISNUMBER(SEARCH('Карта учёта'!$B$16,Расходка[[#This Row],[Наименование расходного материала]])),MAX($H$1:H28)+1,0)</f>
        <v>0</v>
      </c>
      <c r="I29" s="115">
        <f>IF(ISNUMBER(SEARCH('Карта учёта'!$B$17,Расходка[[#This Row],[Наименование расходного материала]])),MAX($I$1:I28)+1,0)</f>
        <v>0</v>
      </c>
      <c r="J29" s="115">
        <f>IF(ISNUMBER(SEARCH('Карта учёта'!$B$18,Расходка[[#This Row],[Наименование расходного материала]])),MAX($J$1:J28)+1,0)</f>
        <v>0</v>
      </c>
      <c r="K29" s="115">
        <f>IF(ISNUMBER(SEARCH('Карта учёта'!$B$19,Расходка[[#This Row],[Наименование расходного материала]])),MAX($K$1:K28)+1,0)</f>
        <v>28</v>
      </c>
      <c r="L29" s="115">
        <f>IF(ISNUMBER(SEARCH('Карта учёта'!$B$20,Расходка[[#This Row],[Наименование расходного материала]])),MAX($L$1:L28)+1,0)</f>
        <v>28</v>
      </c>
      <c r="M29" s="115">
        <f>IF(ISNUMBER(SEARCH('Карта учёта'!$B$21,Расходка[[#This Row],[Наименование расходного материала]])),MAX($M$1:M28)+1,0)</f>
        <v>28</v>
      </c>
      <c r="N29" s="115">
        <f>IF(ISNUMBER(SEARCH('Карта учёта'!$B$22,Расходка[[#This Row],[Наименование расходного материала]])),MAX($N$1:N28)+1,0)</f>
        <v>28</v>
      </c>
      <c r="O29" s="115">
        <f>IF(ISNUMBER(SEARCH('Карта учёта'!$B$23,Расходка[[#This Row],[Наименование расходного материала]])),MAX($O$1:O28)+1,0)</f>
        <v>28</v>
      </c>
      <c r="P29" s="115">
        <f>IF(ISNUMBER(SEARCH('Карта учёта'!$B$24,Расходка[[#This Row],[Наименование расходного материала]])),MAX($P$1:P28)+1,0)</f>
        <v>28</v>
      </c>
      <c r="Q29" s="115">
        <f>IF(ISNUMBER(SEARCH('Карта учёта'!$B$25,Расходка[[#This Row],[Наименование расходного материала]])),MAX($Q$1:Q28)+1,0)</f>
        <v>28</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
      </c>
      <c r="U29" s="114" t="str">
        <f>IFERROR(INDEX(Расходка[Наименование расходного материала],MATCH(Расходка[[#This Row],[№]],Поиск_расходки[Индекс4],0)),"")</f>
        <v/>
      </c>
      <c r="V29" s="114" t="str">
        <f>IFERROR(INDEX(Расходка[Наименование расходного материала],MATCH(Расходка[[#This Row],[№]],Поиск_расходки[Индекс5],0)),"")</f>
        <v/>
      </c>
      <c r="W29" s="114" t="str">
        <f>IFERROR(INDEX(Расходка[Наименование расходного материала],MATCH(Расходка[[#This Row],[№]],Поиск_расходки[Индекс6],0)),"")</f>
        <v/>
      </c>
      <c r="X29" s="114" t="str">
        <f>IFERROR(INDEX(Расходка[Наименование расходного материала],MATCH(Расходка[[#This Row],[№]],Поиск_расходки[Индекс7],0)),"")</f>
        <v>Fielder</v>
      </c>
      <c r="Y29" s="114" t="str">
        <f>IFERROR(INDEX(Расходка[Наименование расходного материала],MATCH(Расходка[[#This Row],[№]],Поиск_расходки[Индекс8],0)),"")</f>
        <v>Fielder</v>
      </c>
      <c r="Z29" s="114" t="str">
        <f>IFERROR(INDEX(Расходка[Наименование расходного материала],MATCH(Расходка[[#This Row],[№]],Поиск_расходки[Индекс9],0)),"")</f>
        <v>Fielder</v>
      </c>
      <c r="AA29" s="114" t="str">
        <f>IFERROR(INDEX(Расходка[Наименование расходного материала],MATCH(Расходка[[#This Row],[№]],Поиск_расходки[Индекс10],0)),"")</f>
        <v>Fielder</v>
      </c>
      <c r="AB29" s="114" t="str">
        <f>IFERROR(INDEX(Расходка[Наименование расходного материала],MATCH(Расходка[[#This Row],[№]],Поиск_расходки[Индекс11],0)),"")</f>
        <v>Fielder</v>
      </c>
      <c r="AC29" s="114" t="str">
        <f>IFERROR(INDEX(Расходка[Наименование расходного материала],MATCH(Расходка[[#This Row],[№]],Поиск_расходки[Индекс12],0)),"")</f>
        <v>Fielder</v>
      </c>
      <c r="AD29" s="114" t="str">
        <f>IFERROR(INDEX(Расходка[Наименование расходного материала],MATCH(Расходка[[#This Row],[№]],Поиск_расходки[Индекс13],0)),"")</f>
        <v>Fielder</v>
      </c>
      <c r="AF29" s="4" t="s">
        <v>5</v>
      </c>
      <c r="AG29" s="4" t="s">
        <v>426</v>
      </c>
    </row>
    <row r="30" spans="1:35">
      <c r="A30">
        <f>ROW(Расходка[[#This Row],[Тип расходного материала ]])-1</f>
        <v>29</v>
      </c>
      <c r="B30" t="s">
        <v>3</v>
      </c>
      <c r="C30" t="s">
        <v>371</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0</v>
      </c>
      <c r="H30" s="115">
        <f>IF(ISNUMBER(SEARCH('Карта учёта'!$B$16,Расходка[[#This Row],[Наименование расходного материала]])),MAX($H$1:H29)+1,0)</f>
        <v>0</v>
      </c>
      <c r="I30" s="115">
        <f>IF(ISNUMBER(SEARCH('Карта учёта'!$B$17,Расходка[[#This Row],[Наименование расходного материала]])),MAX($I$1:I29)+1,0)</f>
        <v>0</v>
      </c>
      <c r="J30" s="115">
        <f>IF(ISNUMBER(SEARCH('Карта учёта'!$B$18,Расходка[[#This Row],[Наименование расходного материала]])),MAX($J$1:J29)+1,0)</f>
        <v>0</v>
      </c>
      <c r="K30" s="115">
        <f>IF(ISNUMBER(SEARCH('Карта учёта'!$B$19,Расходка[[#This Row],[Наименование расходного материала]])),MAX($K$1:K29)+1,0)</f>
        <v>29</v>
      </c>
      <c r="L30" s="115">
        <f>IF(ISNUMBER(SEARCH('Карта учёта'!$B$20,Расходка[[#This Row],[Наименование расходного материала]])),MAX($L$1:L29)+1,0)</f>
        <v>29</v>
      </c>
      <c r="M30" s="115">
        <f>IF(ISNUMBER(SEARCH('Карта учёта'!$B$21,Расходка[[#This Row],[Наименование расходного материала]])),MAX($M$1:M29)+1,0)</f>
        <v>29</v>
      </c>
      <c r="N30" s="115">
        <f>IF(ISNUMBER(SEARCH('Карта учёта'!$B$22,Расходка[[#This Row],[Наименование расходного материала]])),MAX($N$1:N29)+1,0)</f>
        <v>29</v>
      </c>
      <c r="O30" s="115">
        <f>IF(ISNUMBER(SEARCH('Карта учёта'!$B$23,Расходка[[#This Row],[Наименование расходного материала]])),MAX($O$1:O29)+1,0)</f>
        <v>29</v>
      </c>
      <c r="P30" s="115">
        <f>IF(ISNUMBER(SEARCH('Карта учёта'!$B$24,Расходка[[#This Row],[Наименование расходного материала]])),MAX($P$1:P29)+1,0)</f>
        <v>29</v>
      </c>
      <c r="Q30" s="115">
        <f>IF(ISNUMBER(SEARCH('Карта учёта'!$B$25,Расходка[[#This Row],[Наименование расходного материала]])),MAX($Q$1:Q29)+1,0)</f>
        <v>29</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
      </c>
      <c r="U30" s="114" t="str">
        <f>IFERROR(INDEX(Расходка[Наименование расходного материала],MATCH(Расходка[[#This Row],[№]],Поиск_расходки[Индекс4],0)),"")</f>
        <v/>
      </c>
      <c r="V30" s="114" t="str">
        <f>IFERROR(INDEX(Расходка[Наименование расходного материала],MATCH(Расходка[[#This Row],[№]],Поиск_расходки[Индекс5],0)),"")</f>
        <v/>
      </c>
      <c r="W30" s="114" t="str">
        <f>IFERROR(INDEX(Расходка[Наименование расходного материала],MATCH(Расходка[[#This Row],[№]],Поиск_расходки[Индекс6],0)),"")</f>
        <v/>
      </c>
      <c r="X30" s="114" t="str">
        <f>IFERROR(INDEX(Расходка[Наименование расходного материала],MATCH(Расходка[[#This Row],[№]],Поиск_расходки[Индекс7],0)),"")</f>
        <v>Fielder XT-A</v>
      </c>
      <c r="Y30" s="114" t="str">
        <f>IFERROR(INDEX(Расходка[Наименование расходного материала],MATCH(Расходка[[#This Row],[№]],Поиск_расходки[Индекс8],0)),"")</f>
        <v>Fielder XT-A</v>
      </c>
      <c r="Z30" s="114" t="str">
        <f>IFERROR(INDEX(Расходка[Наименование расходного материала],MATCH(Расходка[[#This Row],[№]],Поиск_расходки[Индекс9],0)),"")</f>
        <v>Fielder XT-A</v>
      </c>
      <c r="AA30" s="114" t="str">
        <f>IFERROR(INDEX(Расходка[Наименование расходного материала],MATCH(Расходка[[#This Row],[№]],Поиск_расходки[Индекс10],0)),"")</f>
        <v>Fielder XT-A</v>
      </c>
      <c r="AB30" s="114" t="str">
        <f>IFERROR(INDEX(Расходка[Наименование расходного материала],MATCH(Расходка[[#This Row],[№]],Поиск_расходки[Индекс11],0)),"")</f>
        <v>Fielder XT-A</v>
      </c>
      <c r="AC30" s="114" t="str">
        <f>IFERROR(INDEX(Расходка[Наименование расходного материала],MATCH(Расходка[[#This Row],[№]],Поиск_расходки[Индекс12],0)),"")</f>
        <v>Fielder XT-A</v>
      </c>
      <c r="AD30" s="114" t="str">
        <f>IFERROR(INDEX(Расходка[Наименование расходного материала],MATCH(Расходка[[#This Row],[№]],Поиск_расходки[Индекс13],0)),"")</f>
        <v>Fielder XT-A</v>
      </c>
      <c r="AF30" s="4" t="s">
        <v>5</v>
      </c>
      <c r="AG30" s="4" t="s">
        <v>488</v>
      </c>
    </row>
    <row r="31" spans="1:35">
      <c r="A31">
        <f>ROW(Расходка[[#This Row],[Тип расходного материала ]])-1</f>
        <v>30</v>
      </c>
      <c r="B31" t="s">
        <v>3</v>
      </c>
      <c r="C31" t="s">
        <v>372</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0</v>
      </c>
      <c r="H31" s="115">
        <f>IF(ISNUMBER(SEARCH('Карта учёта'!$B$16,Расходка[[#This Row],[Наименование расходного материала]])),MAX($H$1:H30)+1,0)</f>
        <v>0</v>
      </c>
      <c r="I31" s="115">
        <f>IF(ISNUMBER(SEARCH('Карта учёта'!$B$17,Расходка[[#This Row],[Наименование расходного материала]])),MAX($I$1:I30)+1,0)</f>
        <v>0</v>
      </c>
      <c r="J31" s="115">
        <f>IF(ISNUMBER(SEARCH('Карта учёта'!$B$18,Расходка[[#This Row],[Наименование расходного материала]])),MAX($J$1:J30)+1,0)</f>
        <v>0</v>
      </c>
      <c r="K31" s="115">
        <f>IF(ISNUMBER(SEARCH('Карта учёта'!$B$19,Расходка[[#This Row],[Наименование расходного материала]])),MAX($K$1:K30)+1,0)</f>
        <v>30</v>
      </c>
      <c r="L31" s="115">
        <f>IF(ISNUMBER(SEARCH('Карта учёта'!$B$20,Расходка[[#This Row],[Наименование расходного материала]])),MAX($L$1:L30)+1,0)</f>
        <v>30</v>
      </c>
      <c r="M31" s="115">
        <f>IF(ISNUMBER(SEARCH('Карта учёта'!$B$21,Расходка[[#This Row],[Наименование расходного материала]])),MAX($M$1:M30)+1,0)</f>
        <v>30</v>
      </c>
      <c r="N31" s="115">
        <f>IF(ISNUMBER(SEARCH('Карта учёта'!$B$22,Расходка[[#This Row],[Наименование расходного материала]])),MAX($N$1:N30)+1,0)</f>
        <v>30</v>
      </c>
      <c r="O31" s="115">
        <f>IF(ISNUMBER(SEARCH('Карта учёта'!$B$23,Расходка[[#This Row],[Наименование расходного материала]])),MAX($O$1:O30)+1,0)</f>
        <v>30</v>
      </c>
      <c r="P31" s="115">
        <f>IF(ISNUMBER(SEARCH('Карта учёта'!$B$24,Расходка[[#This Row],[Наименование расходного материала]])),MAX($P$1:P30)+1,0)</f>
        <v>30</v>
      </c>
      <c r="Q31" s="115">
        <f>IF(ISNUMBER(SEARCH('Карта учёта'!$B$25,Расходка[[#This Row],[Наименование расходного материала]])),MAX($Q$1:Q30)+1,0)</f>
        <v>30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
      </c>
      <c r="U31" s="114" t="str">
        <f>IFERROR(INDEX(Расходка[Наименование расходного материала],MATCH(Расходка[[#This Row],[№]],Поиск_расходки[Индекс4],0)),"")</f>
        <v/>
      </c>
      <c r="V31" s="114" t="str">
        <f>IFERROR(INDEX(Расходка[Наименование расходного материала],MATCH(Расходка[[#This Row],[№]],Поиск_расходки[Индекс5],0)),"")</f>
        <v/>
      </c>
      <c r="W31" s="114" t="str">
        <f>IFERROR(INDEX(Расходка[Наименование расходного материала],MATCH(Расходка[[#This Row],[№]],Поиск_расходки[Индекс6],0)),"")</f>
        <v/>
      </c>
      <c r="X31" s="114" t="str">
        <f>IFERROR(INDEX(Расходка[Наименование расходного материала],MATCH(Расходка[[#This Row],[№]],Поиск_расходки[Индекс7],0)),"")</f>
        <v>Fielder XT-R</v>
      </c>
      <c r="Y31" s="114" t="str">
        <f>IFERROR(INDEX(Расходка[Наименование расходного материала],MATCH(Расходка[[#This Row],[№]],Поиск_расходки[Индекс8],0)),"")</f>
        <v>Fielder XT-R</v>
      </c>
      <c r="Z31" s="114" t="str">
        <f>IFERROR(INDEX(Расходка[Наименование расходного материала],MATCH(Расходка[[#This Row],[№]],Поиск_расходки[Индекс9],0)),"")</f>
        <v>Fielder XT-R</v>
      </c>
      <c r="AA31" s="114" t="str">
        <f>IFERROR(INDEX(Расходка[Наименование расходного материала],MATCH(Расходка[[#This Row],[№]],Поиск_расходки[Индекс10],0)),"")</f>
        <v>Fielder XT-R</v>
      </c>
      <c r="AB31" s="114" t="str">
        <f>IFERROR(INDEX(Расходка[Наименование расходного материала],MATCH(Расходка[[#This Row],[№]],Поиск_расходки[Индекс11],0)),"")</f>
        <v>Fielder XT-R</v>
      </c>
      <c r="AC31" s="114" t="str">
        <f>IFERROR(INDEX(Расходка[Наименование расходного материала],MATCH(Расходка[[#This Row],[№]],Поиск_расходки[Индекс12],0)),"")</f>
        <v>Fielder XT-R</v>
      </c>
      <c r="AD31" s="114" t="str">
        <f>IFERROR(INDEX(Расходка[Наименование расходного материала],MATCH(Расходка[[#This Row],[№]],Поиск_расходки[Индекс13],0)),"")</f>
        <v>Fielder XT-R</v>
      </c>
      <c r="AF31" s="4" t="s">
        <v>5</v>
      </c>
      <c r="AG31" s="4" t="s">
        <v>427</v>
      </c>
    </row>
    <row r="32" spans="1:35">
      <c r="A32">
        <f>ROW(Расходка[[#This Row],[Тип расходного материала ]])-1</f>
        <v>31</v>
      </c>
      <c r="B32" t="s">
        <v>3</v>
      </c>
      <c r="C32" t="s">
        <v>509</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0</v>
      </c>
      <c r="H32" s="115">
        <f>IF(ISNUMBER(SEARCH('Карта учёта'!$B$16,Расходка[[#This Row],[Наименование расходного материала]])),MAX($H$1:H31)+1,0)</f>
        <v>0</v>
      </c>
      <c r="I32" s="115">
        <f>IF(ISNUMBER(SEARCH('Карта учёта'!$B$17,Расходка[[#This Row],[Наименование расходного материала]])),MAX($I$1:I31)+1,0)</f>
        <v>0</v>
      </c>
      <c r="J32" s="115">
        <f>IF(ISNUMBER(SEARCH('Карта учёта'!$B$18,Расходка[[#This Row],[Наименование расходного материала]])),MAX($J$1:J31)+1,0)</f>
        <v>0</v>
      </c>
      <c r="K32" s="115">
        <f>IF(ISNUMBER(SEARCH('Карта учёта'!$B$19,Расходка[[#This Row],[Наименование расходного материала]])),MAX($K$1:K31)+1,0)</f>
        <v>31</v>
      </c>
      <c r="L32" s="115">
        <f>IF(ISNUMBER(SEARCH('Карта учёта'!$B$20,Расходка[[#This Row],[Наименование расходного материала]])),MAX($L$1:L31)+1,0)</f>
        <v>31</v>
      </c>
      <c r="M32" s="115">
        <f>IF(ISNUMBER(SEARCH('Карта учёта'!$B$21,Расходка[[#This Row],[Наименование расходного материала]])),MAX($M$1:M31)+1,0)</f>
        <v>31</v>
      </c>
      <c r="N32" s="115">
        <f>IF(ISNUMBER(SEARCH('Карта учёта'!$B$22,Расходка[[#This Row],[Наименование расходного материала]])),MAX($N$1:N31)+1,0)</f>
        <v>31</v>
      </c>
      <c r="O32" s="115">
        <f>IF(ISNUMBER(SEARCH('Карта учёта'!$B$23,Расходка[[#This Row],[Наименование расходного материала]])),MAX($O$1:O31)+1,0)</f>
        <v>31</v>
      </c>
      <c r="P32" s="115">
        <f>IF(ISNUMBER(SEARCH('Карта учёта'!$B$24,Расходка[[#This Row],[Наименование расходного материала]])),MAX($P$1:P31)+1,0)</f>
        <v>31</v>
      </c>
      <c r="Q32" s="115">
        <f>IF(ISNUMBER(SEARCH('Карта учёта'!$B$25,Расходка[[#This Row],[Наименование расходного материала]])),MAX($Q$1:Q31)+1,0)</f>
        <v>31</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
      </c>
      <c r="U32" s="114" t="str">
        <f>IFERROR(INDEX(Расходка[Наименование расходного материала],MATCH(Расходка[[#This Row],[№]],Поиск_расходки[Индекс4],0)),"")</f>
        <v/>
      </c>
      <c r="V32" s="114" t="str">
        <f>IFERROR(INDEX(Расходка[Наименование расходного материала],MATCH(Расходка[[#This Row],[№]],Поиск_расходки[Индекс5],0)),"")</f>
        <v/>
      </c>
      <c r="W32" s="114" t="str">
        <f>IFERROR(INDEX(Расходка[Наименование расходного материала],MATCH(Расходка[[#This Row],[№]],Поиск_расходки[Индекс6],0)),"")</f>
        <v/>
      </c>
      <c r="X32" s="114" t="str">
        <f>IFERROR(INDEX(Расходка[Наименование расходного материала],MATCH(Расходка[[#This Row],[№]],Поиск_расходки[Индекс7],0)),"")</f>
        <v>Asahi Gaia First</v>
      </c>
      <c r="Y32" s="114" t="str">
        <f>IFERROR(INDEX(Расходка[Наименование расходного материала],MATCH(Расходка[[#This Row],[№]],Поиск_расходки[Индекс8],0)),"")</f>
        <v>Asahi Gaia First</v>
      </c>
      <c r="Z32" s="114" t="str">
        <f>IFERROR(INDEX(Расходка[Наименование расходного материала],MATCH(Расходка[[#This Row],[№]],Поиск_расходки[Индекс9],0)),"")</f>
        <v>Asahi Gaia First</v>
      </c>
      <c r="AA32" s="114" t="str">
        <f>IFERROR(INDEX(Расходка[Наименование расходного материала],MATCH(Расходка[[#This Row],[№]],Поиск_расходки[Индекс10],0)),"")</f>
        <v>Asahi Gaia First</v>
      </c>
      <c r="AB32" s="114" t="str">
        <f>IFERROR(INDEX(Расходка[Наименование расходного материала],MATCH(Расходка[[#This Row],[№]],Поиск_расходки[Индекс11],0)),"")</f>
        <v>Asahi Gaia First</v>
      </c>
      <c r="AC32" s="114" t="str">
        <f>IFERROR(INDEX(Расходка[Наименование расходного материала],MATCH(Расходка[[#This Row],[№]],Поиск_расходки[Индекс12],0)),"")</f>
        <v>Asahi Gaia First</v>
      </c>
      <c r="AD32" s="114" t="str">
        <f>IFERROR(INDEX(Расходка[Наименование расходного материала],MATCH(Расходка[[#This Row],[№]],Поиск_расходки[Индекс13],0)),"")</f>
        <v>Asahi Gaia First</v>
      </c>
      <c r="AF32" s="4" t="s">
        <v>5</v>
      </c>
      <c r="AG32" s="4" t="s">
        <v>428</v>
      </c>
    </row>
    <row r="33" spans="1:33">
      <c r="A33">
        <f>ROW(Расходка[[#This Row],[Тип расходного материала ]])-1</f>
        <v>32</v>
      </c>
      <c r="B33" t="s">
        <v>3</v>
      </c>
      <c r="C33" s="1" t="s">
        <v>510</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0</v>
      </c>
      <c r="H33" s="115">
        <f>IF(ISNUMBER(SEARCH('Карта учёта'!$B$16,Расходка[[#This Row],[Наименование расходного материала]])),MAX($H$1:H32)+1,0)</f>
        <v>0</v>
      </c>
      <c r="I33" s="115">
        <f>IF(ISNUMBER(SEARCH('Карта учёта'!$B$17,Расходка[[#This Row],[Наименование расходного материала]])),MAX($I$1:I32)+1,0)</f>
        <v>0</v>
      </c>
      <c r="J33" s="115">
        <f>IF(ISNUMBER(SEARCH('Карта учёта'!$B$18,Расходка[[#This Row],[Наименование расходного материала]])),MAX($J$1:J32)+1,0)</f>
        <v>0</v>
      </c>
      <c r="K33" s="115">
        <f>IF(ISNUMBER(SEARCH('Карта учёта'!$B$19,Расходка[[#This Row],[Наименование расходного материала]])),MAX($K$1:K32)+1,0)</f>
        <v>32</v>
      </c>
      <c r="L33" s="115">
        <f>IF(ISNUMBER(SEARCH('Карта учёта'!$B$20,Расходка[[#This Row],[Наименование расходного материала]])),MAX($L$1:L32)+1,0)</f>
        <v>32</v>
      </c>
      <c r="M33" s="115">
        <f>IF(ISNUMBER(SEARCH('Карта учёта'!$B$21,Расходка[[#This Row],[Наименование расходного материала]])),MAX($M$1:M32)+1,0)</f>
        <v>32</v>
      </c>
      <c r="N33" s="115">
        <f>IF(ISNUMBER(SEARCH('Карта учёта'!$B$22,Расходка[[#This Row],[Наименование расходного материала]])),MAX($N$1:N32)+1,0)</f>
        <v>32</v>
      </c>
      <c r="O33" s="115">
        <f>IF(ISNUMBER(SEARCH('Карта учёта'!$B$23,Расходка[[#This Row],[Наименование расходного материала]])),MAX($O$1:O32)+1,0)</f>
        <v>32</v>
      </c>
      <c r="P33" s="115">
        <f>IF(ISNUMBER(SEARCH('Карта учёта'!$B$24,Расходка[[#This Row],[Наименование расходного материала]])),MAX($P$1:P32)+1,0)</f>
        <v>32</v>
      </c>
      <c r="Q33" s="115">
        <f>IF(ISNUMBER(SEARCH('Карта учёта'!$B$25,Расходка[[#This Row],[Наименование расходного материала]])),MAX($Q$1:Q32)+1,0)</f>
        <v>32</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
      </c>
      <c r="U33" s="114" t="str">
        <f>IFERROR(INDEX(Расходка[Наименование расходного материала],MATCH(Расходка[[#This Row],[№]],Поиск_расходки[Индекс4],0)),"")</f>
        <v/>
      </c>
      <c r="V33" s="114" t="str">
        <f>IFERROR(INDEX(Расходка[Наименование расходного материала],MATCH(Расходка[[#This Row],[№]],Поиск_расходки[Индекс5],0)),"")</f>
        <v/>
      </c>
      <c r="W33" s="114" t="str">
        <f>IFERROR(INDEX(Расходка[Наименование расходного материала],MATCH(Расходка[[#This Row],[№]],Поиск_расходки[Индекс6],0)),"")</f>
        <v/>
      </c>
      <c r="X33" s="114" t="str">
        <f>IFERROR(INDEX(Расходка[Наименование расходного материала],MATCH(Расходка[[#This Row],[№]],Поиск_расходки[Индекс7],0)),"")</f>
        <v>Asahi Gaia Second</v>
      </c>
      <c r="Y33" s="114" t="str">
        <f>IFERROR(INDEX(Расходка[Наименование расходного материала],MATCH(Расходка[[#This Row],[№]],Поиск_расходки[Индекс8],0)),"")</f>
        <v>Asahi Gaia Second</v>
      </c>
      <c r="Z33" s="114" t="str">
        <f>IFERROR(INDEX(Расходка[Наименование расходного материала],MATCH(Расходка[[#This Row],[№]],Поиск_расходки[Индекс9],0)),"")</f>
        <v>Asahi Gaia Second</v>
      </c>
      <c r="AA33" s="114" t="str">
        <f>IFERROR(INDEX(Расходка[Наименование расходного материала],MATCH(Расходка[[#This Row],[№]],Поиск_расходки[Индекс10],0)),"")</f>
        <v>Asahi Gaia Second</v>
      </c>
      <c r="AB33" s="114" t="str">
        <f>IFERROR(INDEX(Расходка[Наименование расходного материала],MATCH(Расходка[[#This Row],[№]],Поиск_расходки[Индекс11],0)),"")</f>
        <v>Asahi Gaia Second</v>
      </c>
      <c r="AC33" s="114" t="str">
        <f>IFERROR(INDEX(Расходка[Наименование расходного материала],MATCH(Расходка[[#This Row],[№]],Поиск_расходки[Индекс12],0)),"")</f>
        <v>Asahi Gaia Second</v>
      </c>
      <c r="AD33" s="114" t="str">
        <f>IFERROR(INDEX(Расходка[Наименование расходного материала],MATCH(Расходка[[#This Row],[№]],Поиск_расходки[Индекс13],0)),"")</f>
        <v>Asahi Gaia Second</v>
      </c>
      <c r="AF33" s="4" t="s">
        <v>5</v>
      </c>
      <c r="AG33" s="4" t="s">
        <v>429</v>
      </c>
    </row>
    <row r="34" spans="1:33">
      <c r="A34">
        <f>ROW(Расходка[[#This Row],[Тип расходного материала ]])-1</f>
        <v>33</v>
      </c>
      <c r="B34" t="s">
        <v>3</v>
      </c>
      <c r="C34" s="1" t="s">
        <v>511</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0</v>
      </c>
      <c r="H34" s="115">
        <f>IF(ISNUMBER(SEARCH('Карта учёта'!$B$16,Расходка[[#This Row],[Наименование расходного материала]])),MAX($H$1:H33)+1,0)</f>
        <v>0</v>
      </c>
      <c r="I34" s="115">
        <f>IF(ISNUMBER(SEARCH('Карта учёта'!$B$17,Расходка[[#This Row],[Наименование расходного материала]])),MAX($I$1:I33)+1,0)</f>
        <v>0</v>
      </c>
      <c r="J34" s="115">
        <f>IF(ISNUMBER(SEARCH('Карта учёта'!$B$18,Расходка[[#This Row],[Наименование расходного материала]])),MAX($J$1:J33)+1,0)</f>
        <v>0</v>
      </c>
      <c r="K34" s="115">
        <f>IF(ISNUMBER(SEARCH('Карта учёта'!$B$19,Расходка[[#This Row],[Наименование расходного материала]])),MAX($K$1:K33)+1,0)</f>
        <v>33</v>
      </c>
      <c r="L34" s="115">
        <f>IF(ISNUMBER(SEARCH('Карта учёта'!$B$20,Расходка[[#This Row],[Наименование расходного материала]])),MAX($L$1:L33)+1,0)</f>
        <v>33</v>
      </c>
      <c r="M34" s="115">
        <f>IF(ISNUMBER(SEARCH('Карта учёта'!$B$21,Расходка[[#This Row],[Наименование расходного материала]])),MAX($M$1:M33)+1,0)</f>
        <v>33</v>
      </c>
      <c r="N34" s="115">
        <f>IF(ISNUMBER(SEARCH('Карта учёта'!$B$22,Расходка[[#This Row],[Наименование расходного материала]])),MAX($N$1:N33)+1,0)</f>
        <v>33</v>
      </c>
      <c r="O34" s="115">
        <f>IF(ISNUMBER(SEARCH('Карта учёта'!$B$23,Расходка[[#This Row],[Наименование расходного материала]])),MAX($O$1:O33)+1,0)</f>
        <v>33</v>
      </c>
      <c r="P34" s="115">
        <f>IF(ISNUMBER(SEARCH('Карта учёта'!$B$24,Расходка[[#This Row],[Наименование расходного материала]])),MAX($P$1:P33)+1,0)</f>
        <v>33</v>
      </c>
      <c r="Q34" s="115">
        <f>IF(ISNUMBER(SEARCH('Карта учёта'!$B$25,Расходка[[#This Row],[Наименование расходного материала]])),MAX($Q$1:Q33)+1,0)</f>
        <v>33</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
      </c>
      <c r="U34" s="114" t="str">
        <f>IFERROR(INDEX(Расходка[Наименование расходного материала],MATCH(Расходка[[#This Row],[№]],Поиск_расходки[Индекс4],0)),"")</f>
        <v/>
      </c>
      <c r="V34" s="114" t="str">
        <f>IFERROR(INDEX(Расходка[Наименование расходного материала],MATCH(Расходка[[#This Row],[№]],Поиск_расходки[Индекс5],0)),"")</f>
        <v/>
      </c>
      <c r="W34" s="114" t="str">
        <f>IFERROR(INDEX(Расходка[Наименование расходного материала],MATCH(Расходка[[#This Row],[№]],Поиск_расходки[Индекс6],0)),"")</f>
        <v/>
      </c>
      <c r="X34" s="114" t="str">
        <f>IFERROR(INDEX(Расходка[Наименование расходного материала],MATCH(Расходка[[#This Row],[№]],Поиск_расходки[Индекс7],0)),"")</f>
        <v>Asahi Gaia Third</v>
      </c>
      <c r="Y34" s="114" t="str">
        <f>IFERROR(INDEX(Расходка[Наименование расходного материала],MATCH(Расходка[[#This Row],[№]],Поиск_расходки[Индекс8],0)),"")</f>
        <v>Asahi Gaia Third</v>
      </c>
      <c r="Z34" s="114" t="str">
        <f>IFERROR(INDEX(Расходка[Наименование расходного материала],MATCH(Расходка[[#This Row],[№]],Поиск_расходки[Индекс9],0)),"")</f>
        <v>Asahi Gaia Third</v>
      </c>
      <c r="AA34" s="114" t="str">
        <f>IFERROR(INDEX(Расходка[Наименование расходного материала],MATCH(Расходка[[#This Row],[№]],Поиск_расходки[Индекс10],0)),"")</f>
        <v>Asahi Gaia Third</v>
      </c>
      <c r="AB34" s="114" t="str">
        <f>IFERROR(INDEX(Расходка[Наименование расходного материала],MATCH(Расходка[[#This Row],[№]],Поиск_расходки[Индекс11],0)),"")</f>
        <v>Asahi Gaia Third</v>
      </c>
      <c r="AC34" s="114" t="str">
        <f>IFERROR(INDEX(Расходка[Наименование расходного материала],MATCH(Расходка[[#This Row],[№]],Поиск_расходки[Индекс12],0)),"")</f>
        <v>Asahi Gaia Third</v>
      </c>
      <c r="AD34" s="114" t="str">
        <f>IFERROR(INDEX(Расходка[Наименование расходного материала],MATCH(Расходка[[#This Row],[№]],Поиск_расходки[Индекс13],0)),"")</f>
        <v>Asahi Gaia Third</v>
      </c>
      <c r="AF34" s="4" t="s">
        <v>5</v>
      </c>
      <c r="AG34" s="4" t="s">
        <v>430</v>
      </c>
    </row>
    <row r="35" spans="1:33">
      <c r="A35">
        <f>ROW(Расходка[[#This Row],[Тип расходного материала ]])-1</f>
        <v>34</v>
      </c>
      <c r="B35" t="s">
        <v>3</v>
      </c>
      <c r="C35" s="1" t="s">
        <v>321</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0</v>
      </c>
      <c r="H35" s="115">
        <f>IF(ISNUMBER(SEARCH('Карта учёта'!$B$16,Расходка[[#This Row],[Наименование расходного материала]])),MAX($H$1:H34)+1,0)</f>
        <v>0</v>
      </c>
      <c r="I35" s="115">
        <f>IF(ISNUMBER(SEARCH('Карта учёта'!$B$17,Расходка[[#This Row],[Наименование расходного материала]])),MAX($I$1:I34)+1,0)</f>
        <v>0</v>
      </c>
      <c r="J35" s="115">
        <f>IF(ISNUMBER(SEARCH('Карта учёта'!$B$18,Расходка[[#This Row],[Наименование расходного материала]])),MAX($J$1:J34)+1,0)</f>
        <v>0</v>
      </c>
      <c r="K35" s="115">
        <f>IF(ISNUMBER(SEARCH('Карта учёта'!$B$19,Расходка[[#This Row],[Наименование расходного материала]])),MAX($K$1:K34)+1,0)</f>
        <v>34</v>
      </c>
      <c r="L35" s="115">
        <f>IF(ISNUMBER(SEARCH('Карта учёта'!$B$20,Расходка[[#This Row],[Наименование расходного материала]])),MAX($L$1:L34)+1,0)</f>
        <v>34</v>
      </c>
      <c r="M35" s="115">
        <f>IF(ISNUMBER(SEARCH('Карта учёта'!$B$21,Расходка[[#This Row],[Наименование расходного материала]])),MAX($M$1:M34)+1,0)</f>
        <v>34</v>
      </c>
      <c r="N35" s="115">
        <f>IF(ISNUMBER(SEARCH('Карта учёта'!$B$22,Расходка[[#This Row],[Наименование расходного материала]])),MAX($N$1:N34)+1,0)</f>
        <v>34</v>
      </c>
      <c r="O35" s="115">
        <f>IF(ISNUMBER(SEARCH('Карта учёта'!$B$23,Расходка[[#This Row],[Наименование расходного материала]])),MAX($O$1:O34)+1,0)</f>
        <v>34</v>
      </c>
      <c r="P35" s="115">
        <f>IF(ISNUMBER(SEARCH('Карта учёта'!$B$24,Расходка[[#This Row],[Наименование расходного материала]])),MAX($P$1:P34)+1,0)</f>
        <v>34</v>
      </c>
      <c r="Q35" s="115">
        <f>IF(ISNUMBER(SEARCH('Карта учёта'!$B$25,Расходка[[#This Row],[Наименование расходного материала]])),MAX($Q$1:Q34)+1,0)</f>
        <v>34</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
      </c>
      <c r="U35" s="114" t="str">
        <f>IFERROR(INDEX(Расходка[Наименование расходного материала],MATCH(Расходка[[#This Row],[№]],Поиск_расходки[Индекс4],0)),"")</f>
        <v/>
      </c>
      <c r="V35" s="114" t="str">
        <f>IFERROR(INDEX(Расходка[Наименование расходного материала],MATCH(Расходка[[#This Row],[№]],Поиск_расходки[Индекс5],0)),"")</f>
        <v/>
      </c>
      <c r="W35" s="114" t="str">
        <f>IFERROR(INDEX(Расходка[Наименование расходного материала],MATCH(Расходка[[#This Row],[№]],Поиск_расходки[Индекс6],0)),"")</f>
        <v/>
      </c>
      <c r="X35" s="114" t="str">
        <f>IFERROR(INDEX(Расходка[Наименование расходного материала],MATCH(Расходка[[#This Row],[№]],Поиск_расходки[Индекс7],0)),"")</f>
        <v>Intuition</v>
      </c>
      <c r="Y35" s="114" t="str">
        <f>IFERROR(INDEX(Расходка[Наименование расходного материала],MATCH(Расходка[[#This Row],[№]],Поиск_расходки[Индекс8],0)),"")</f>
        <v>Intuition</v>
      </c>
      <c r="Z35" s="114" t="str">
        <f>IFERROR(INDEX(Расходка[Наименование расходного материала],MATCH(Расходка[[#This Row],[№]],Поиск_расходки[Индекс9],0)),"")</f>
        <v>Intuition</v>
      </c>
      <c r="AA35" s="114" t="str">
        <f>IFERROR(INDEX(Расходка[Наименование расходного материала],MATCH(Расходка[[#This Row],[№]],Поиск_расходки[Индекс10],0)),"")</f>
        <v>Intuition</v>
      </c>
      <c r="AB35" s="114" t="str">
        <f>IFERROR(INDEX(Расходка[Наименование расходного материала],MATCH(Расходка[[#This Row],[№]],Поиск_расходки[Индекс11],0)),"")</f>
        <v>Intuition</v>
      </c>
      <c r="AC35" s="114" t="str">
        <f>IFERROR(INDEX(Расходка[Наименование расходного материала],MATCH(Расходка[[#This Row],[№]],Поиск_расходки[Индекс12],0)),"")</f>
        <v>Intuition</v>
      </c>
      <c r="AD35" s="114" t="str">
        <f>IFERROR(INDEX(Расходка[Наименование расходного материала],MATCH(Расходка[[#This Row],[№]],Поиск_расходки[Индекс13],0)),"")</f>
        <v>Intuition</v>
      </c>
      <c r="AF35" s="4" t="s">
        <v>5</v>
      </c>
      <c r="AG35" s="4" t="s">
        <v>489</v>
      </c>
    </row>
    <row r="36" spans="1:33">
      <c r="A36">
        <f>ROW(Расходка[[#This Row],[Тип расходного материала ]])-1</f>
        <v>35</v>
      </c>
      <c r="B36" t="s">
        <v>3</v>
      </c>
      <c r="C36" t="s">
        <v>317</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0</v>
      </c>
      <c r="H36" s="115">
        <f>IF(ISNUMBER(SEARCH('Карта учёта'!$B$16,Расходка[[#This Row],[Наименование расходного материала]])),MAX($H$1:H35)+1,0)</f>
        <v>0</v>
      </c>
      <c r="I36" s="115">
        <f>IF(ISNUMBER(SEARCH('Карта учёта'!$B$17,Расходка[[#This Row],[Наименование расходного материала]])),MAX($I$1:I35)+1,0)</f>
        <v>0</v>
      </c>
      <c r="J36" s="115">
        <f>IF(ISNUMBER(SEARCH('Карта учёта'!$B$18,Расходка[[#This Row],[Наименование расходного материала]])),MAX($J$1:J35)+1,0)</f>
        <v>0</v>
      </c>
      <c r="K36" s="115">
        <f>IF(ISNUMBER(SEARCH('Карта учёта'!$B$19,Расходка[[#This Row],[Наименование расходного материала]])),MAX($K$1:K35)+1,0)</f>
        <v>35</v>
      </c>
      <c r="L36" s="115">
        <f>IF(ISNUMBER(SEARCH('Карта учёта'!$B$20,Расходка[[#This Row],[Наименование расходного материала]])),MAX($L$1:L35)+1,0)</f>
        <v>35</v>
      </c>
      <c r="M36" s="115">
        <f>IF(ISNUMBER(SEARCH('Карта учёта'!$B$21,Расходка[[#This Row],[Наименование расходного материала]])),MAX($M$1:M35)+1,0)</f>
        <v>35</v>
      </c>
      <c r="N36" s="115">
        <f>IF(ISNUMBER(SEARCH('Карта учёта'!$B$22,Расходка[[#This Row],[Наименование расходного материала]])),MAX($N$1:N35)+1,0)</f>
        <v>35</v>
      </c>
      <c r="O36" s="115">
        <f>IF(ISNUMBER(SEARCH('Карта учёта'!$B$23,Расходка[[#This Row],[Наименование расходного материала]])),MAX($O$1:O35)+1,0)</f>
        <v>35</v>
      </c>
      <c r="P36" s="115">
        <f>IF(ISNUMBER(SEARCH('Карта учёта'!$B$24,Расходка[[#This Row],[Наименование расходного материала]])),MAX($P$1:P35)+1,0)</f>
        <v>35</v>
      </c>
      <c r="Q36" s="115">
        <f>IF(ISNUMBER(SEARCH('Карта учёта'!$B$25,Расходка[[#This Row],[Наименование расходного материала]])),MAX($Q$1:Q35)+1,0)</f>
        <v>35</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
      </c>
      <c r="U36" s="114" t="str">
        <f>IFERROR(INDEX(Расходка[Наименование расходного материала],MATCH(Расходка[[#This Row],[№]],Поиск_расходки[Индекс4],0)),"")</f>
        <v/>
      </c>
      <c r="V36" s="114" t="str">
        <f>IFERROR(INDEX(Расходка[Наименование расходного материала],MATCH(Расходка[[#This Row],[№]],Поиск_расходки[Индекс5],0)),"")</f>
        <v/>
      </c>
      <c r="W36" s="114" t="str">
        <f>IFERROR(INDEX(Расходка[Наименование расходного материала],MATCH(Расходка[[#This Row],[№]],Поиск_расходки[Индекс6],0)),"")</f>
        <v/>
      </c>
      <c r="X36" s="114" t="str">
        <f>IFERROR(INDEX(Расходка[Наименование расходного материала],MATCH(Расходка[[#This Row],[№]],Поиск_расходки[Индекс7],0)),"")</f>
        <v>ProVia 3 Hydro-Track®</v>
      </c>
      <c r="Y36" s="114" t="str">
        <f>IFERROR(INDEX(Расходка[Наименование расходного материала],MATCH(Расходка[[#This Row],[№]],Поиск_расходки[Индекс8],0)),"")</f>
        <v>ProVia 3 Hydro-Track®</v>
      </c>
      <c r="Z36" s="114" t="str">
        <f>IFERROR(INDEX(Расходка[Наименование расходного материала],MATCH(Расходка[[#This Row],[№]],Поиск_расходки[Индекс9],0)),"")</f>
        <v>ProVia 3 Hydro-Track®</v>
      </c>
      <c r="AA36" s="114" t="str">
        <f>IFERROR(INDEX(Расходка[Наименование расходного материала],MATCH(Расходка[[#This Row],[№]],Поиск_расходки[Индекс10],0)),"")</f>
        <v>ProVia 3 Hydro-Track®</v>
      </c>
      <c r="AB36" s="114" t="str">
        <f>IFERROR(INDEX(Расходка[Наименование расходного материала],MATCH(Расходка[[#This Row],[№]],Поиск_расходки[Индекс11],0)),"")</f>
        <v>ProVia 3 Hydro-Track®</v>
      </c>
      <c r="AC36" s="114" t="str">
        <f>IFERROR(INDEX(Расходка[Наименование расходного материала],MATCH(Расходка[[#This Row],[№]],Поиск_расходки[Индекс12],0)),"")</f>
        <v>ProVia 3 Hydro-Track®</v>
      </c>
      <c r="AD36" s="114" t="str">
        <f>IFERROR(INDEX(Расходка[Наименование расходного материала],MATCH(Расходка[[#This Row],[№]],Поиск_расходки[Индекс13],0)),"")</f>
        <v>ProVia 3 Hydro-Track®</v>
      </c>
      <c r="AF36" s="4" t="s">
        <v>5</v>
      </c>
      <c r="AG36" s="4" t="s">
        <v>431</v>
      </c>
    </row>
    <row r="37" spans="1:33">
      <c r="A37">
        <f>ROW(Расходка[[#This Row],[Тип расходного материала ]])-1</f>
        <v>36</v>
      </c>
      <c r="B37" t="s">
        <v>3</v>
      </c>
      <c r="C37" t="s">
        <v>318</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0</v>
      </c>
      <c r="H37" s="115">
        <f>IF(ISNUMBER(SEARCH('Карта учёта'!$B$16,Расходка[[#This Row],[Наименование расходного материала]])),MAX($H$1:H36)+1,0)</f>
        <v>0</v>
      </c>
      <c r="I37" s="115">
        <f>IF(ISNUMBER(SEARCH('Карта учёта'!$B$17,Расходка[[#This Row],[Наименование расходного материала]])),MAX($I$1:I36)+1,0)</f>
        <v>0</v>
      </c>
      <c r="J37" s="115">
        <f>IF(ISNUMBER(SEARCH('Карта учёта'!$B$18,Расходка[[#This Row],[Наименование расходного материала]])),MAX($J$1:J36)+1,0)</f>
        <v>0</v>
      </c>
      <c r="K37" s="115">
        <f>IF(ISNUMBER(SEARCH('Карта учёта'!$B$19,Расходка[[#This Row],[Наименование расходного материала]])),MAX($K$1:K36)+1,0)</f>
        <v>36</v>
      </c>
      <c r="L37" s="115">
        <f>IF(ISNUMBER(SEARCH('Карта учёта'!$B$20,Расходка[[#This Row],[Наименование расходного материала]])),MAX($L$1:L36)+1,0)</f>
        <v>36</v>
      </c>
      <c r="M37" s="115">
        <f>IF(ISNUMBER(SEARCH('Карта учёта'!$B$21,Расходка[[#This Row],[Наименование расходного материала]])),MAX($M$1:M36)+1,0)</f>
        <v>36</v>
      </c>
      <c r="N37" s="115">
        <f>IF(ISNUMBER(SEARCH('Карта учёта'!$B$22,Расходка[[#This Row],[Наименование расходного материала]])),MAX($N$1:N36)+1,0)</f>
        <v>36</v>
      </c>
      <c r="O37" s="115">
        <f>IF(ISNUMBER(SEARCH('Карта учёта'!$B$23,Расходка[[#This Row],[Наименование расходного материала]])),MAX($O$1:O36)+1,0)</f>
        <v>36</v>
      </c>
      <c r="P37" s="115">
        <f>IF(ISNUMBER(SEARCH('Карта учёта'!$B$24,Расходка[[#This Row],[Наименование расходного материала]])),MAX($P$1:P36)+1,0)</f>
        <v>36</v>
      </c>
      <c r="Q37" s="115">
        <f>IF(ISNUMBER(SEARCH('Карта учёта'!$B$25,Расходка[[#This Row],[Наименование расходного материала]])),MAX($Q$1:Q36)+1,0)</f>
        <v>36</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
      </c>
      <c r="U37" s="114" t="str">
        <f>IFERROR(INDEX(Расходка[Наименование расходного материала],MATCH(Расходка[[#This Row],[№]],Поиск_расходки[Индекс4],0)),"")</f>
        <v/>
      </c>
      <c r="V37" s="114" t="str">
        <f>IFERROR(INDEX(Расходка[Наименование расходного материала],MATCH(Расходка[[#This Row],[№]],Поиск_расходки[Индекс5],0)),"")</f>
        <v/>
      </c>
      <c r="W37" s="114" t="str">
        <f>IFERROR(INDEX(Расходка[Наименование расходного материала],MATCH(Расходка[[#This Row],[№]],Поиск_расходки[Индекс6],0)),"")</f>
        <v/>
      </c>
      <c r="X37" s="114" t="str">
        <f>IFERROR(INDEX(Расходка[Наименование расходного материала],MATCH(Расходка[[#This Row],[№]],Поиск_расходки[Индекс7],0)),"")</f>
        <v>ProVia 6 Hydro-Track®</v>
      </c>
      <c r="Y37" s="114" t="str">
        <f>IFERROR(INDEX(Расходка[Наименование расходного материала],MATCH(Расходка[[#This Row],[№]],Поиск_расходки[Индекс8],0)),"")</f>
        <v>ProVia 6 Hydro-Track®</v>
      </c>
      <c r="Z37" s="114" t="str">
        <f>IFERROR(INDEX(Расходка[Наименование расходного материала],MATCH(Расходка[[#This Row],[№]],Поиск_расходки[Индекс9],0)),"")</f>
        <v>ProVia 6 Hydro-Track®</v>
      </c>
      <c r="AA37" s="114" t="str">
        <f>IFERROR(INDEX(Расходка[Наименование расходного материала],MATCH(Расходка[[#This Row],[№]],Поиск_расходки[Индекс10],0)),"")</f>
        <v>ProVia 6 Hydro-Track®</v>
      </c>
      <c r="AB37" s="114" t="str">
        <f>IFERROR(INDEX(Расходка[Наименование расходного материала],MATCH(Расходка[[#This Row],[№]],Поиск_расходки[Индекс11],0)),"")</f>
        <v>ProVia 6 Hydro-Track®</v>
      </c>
      <c r="AC37" s="114" t="str">
        <f>IFERROR(INDEX(Расходка[Наименование расходного материала],MATCH(Расходка[[#This Row],[№]],Поиск_расходки[Индекс12],0)),"")</f>
        <v>ProVia 6 Hydro-Track®</v>
      </c>
      <c r="AD37" s="114" t="str">
        <f>IFERROR(INDEX(Расходка[Наименование расходного материала],MATCH(Расходка[[#This Row],[№]],Поиск_расходки[Индекс13],0)),"")</f>
        <v>ProVia 6 Hydro-Track®</v>
      </c>
      <c r="AF37" s="4" t="s">
        <v>6</v>
      </c>
      <c r="AG37" s="4" t="s">
        <v>404</v>
      </c>
    </row>
    <row r="38" spans="1:33">
      <c r="A38">
        <f>ROW(Расходка[[#This Row],[Тип расходного материала ]])-1</f>
        <v>37</v>
      </c>
      <c r="B38" t="s">
        <v>3</v>
      </c>
      <c r="C38" t="s">
        <v>319</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0</v>
      </c>
      <c r="H38" s="115">
        <f>IF(ISNUMBER(SEARCH('Карта учёта'!$B$16,Расходка[[#This Row],[Наименование расходного материала]])),MAX($H$1:H37)+1,0)</f>
        <v>0</v>
      </c>
      <c r="I38" s="115">
        <f>IF(ISNUMBER(SEARCH('Карта учёта'!$B$17,Расходка[[#This Row],[Наименование расходного материала]])),MAX($I$1:I37)+1,0)</f>
        <v>0</v>
      </c>
      <c r="J38" s="115">
        <f>IF(ISNUMBER(SEARCH('Карта учёта'!$B$18,Расходка[[#This Row],[Наименование расходного материала]])),MAX($J$1:J37)+1,0)</f>
        <v>0</v>
      </c>
      <c r="K38" s="115">
        <f>IF(ISNUMBER(SEARCH('Карта учёта'!$B$19,Расходка[[#This Row],[Наименование расходного материала]])),MAX($K$1:K37)+1,0)</f>
        <v>37</v>
      </c>
      <c r="L38" s="115">
        <f>IF(ISNUMBER(SEARCH('Карта учёта'!$B$20,Расходка[[#This Row],[Наименование расходного материала]])),MAX($L$1:L37)+1,0)</f>
        <v>37</v>
      </c>
      <c r="M38" s="115">
        <f>IF(ISNUMBER(SEARCH('Карта учёта'!$B$21,Расходка[[#This Row],[Наименование расходного материала]])),MAX($M$1:M37)+1,0)</f>
        <v>37</v>
      </c>
      <c r="N38" s="115">
        <f>IF(ISNUMBER(SEARCH('Карта учёта'!$B$22,Расходка[[#This Row],[Наименование расходного материала]])),MAX($N$1:N37)+1,0)</f>
        <v>37</v>
      </c>
      <c r="O38" s="115">
        <f>IF(ISNUMBER(SEARCH('Карта учёта'!$B$23,Расходка[[#This Row],[Наименование расходного материала]])),MAX($O$1:O37)+1,0)</f>
        <v>37</v>
      </c>
      <c r="P38" s="115">
        <f>IF(ISNUMBER(SEARCH('Карта учёта'!$B$24,Расходка[[#This Row],[Наименование расходного материала]])),MAX($P$1:P37)+1,0)</f>
        <v>37</v>
      </c>
      <c r="Q38" s="115">
        <f>IF(ISNUMBER(SEARCH('Карта учёта'!$B$25,Расходка[[#This Row],[Наименование расходного материала]])),MAX($Q$1:Q37)+1,0)</f>
        <v>37</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
      </c>
      <c r="U38" s="114" t="str">
        <f>IFERROR(INDEX(Расходка[Наименование расходного материала],MATCH(Расходка[[#This Row],[№]],Поиск_расходки[Индекс4],0)),"")</f>
        <v/>
      </c>
      <c r="V38" s="114" t="str">
        <f>IFERROR(INDEX(Расходка[Наименование расходного материала],MATCH(Расходка[[#This Row],[№]],Поиск_расходки[Индекс5],0)),"")</f>
        <v/>
      </c>
      <c r="W38" s="114" t="str">
        <f>IFERROR(INDEX(Расходка[Наименование расходного материала],MATCH(Расходка[[#This Row],[№]],Поиск_расходки[Индекс6],0)),"")</f>
        <v/>
      </c>
      <c r="X38" s="114" t="str">
        <f>IFERROR(INDEX(Расходка[Наименование расходного материала],MATCH(Расходка[[#This Row],[№]],Поиск_расходки[Индекс7],0)),"")</f>
        <v>ProVia 9 Hydro-Track®</v>
      </c>
      <c r="Y38" s="114" t="str">
        <f>IFERROR(INDEX(Расходка[Наименование расходного материала],MATCH(Расходка[[#This Row],[№]],Поиск_расходки[Индекс8],0)),"")</f>
        <v>ProVia 9 Hydro-Track®</v>
      </c>
      <c r="Z38" s="114" t="str">
        <f>IFERROR(INDEX(Расходка[Наименование расходного материала],MATCH(Расходка[[#This Row],[№]],Поиск_расходки[Индекс9],0)),"")</f>
        <v>ProVia 9 Hydro-Track®</v>
      </c>
      <c r="AA38" s="114" t="str">
        <f>IFERROR(INDEX(Расходка[Наименование расходного материала],MATCH(Расходка[[#This Row],[№]],Поиск_расходки[Индекс10],0)),"")</f>
        <v>ProVia 9 Hydro-Track®</v>
      </c>
      <c r="AB38" s="114" t="str">
        <f>IFERROR(INDEX(Расходка[Наименование расходного материала],MATCH(Расходка[[#This Row],[№]],Поиск_расходки[Индекс11],0)),"")</f>
        <v>ProVia 9 Hydro-Track®</v>
      </c>
      <c r="AC38" s="114" t="str">
        <f>IFERROR(INDEX(Расходка[Наименование расходного материала],MATCH(Расходка[[#This Row],[№]],Поиск_расходки[Индекс12],0)),"")</f>
        <v>ProVia 9 Hydro-Track®</v>
      </c>
      <c r="AD38" s="114" t="str">
        <f>IFERROR(INDEX(Расходка[Наименование расходного материала],MATCH(Расходка[[#This Row],[№]],Поиск_расходки[Индекс13],0)),"")</f>
        <v>ProVia 9 Hydro-Track®</v>
      </c>
      <c r="AF38" s="4" t="s">
        <v>6</v>
      </c>
      <c r="AG38" s="4" t="s">
        <v>491</v>
      </c>
    </row>
    <row r="39" spans="1:33">
      <c r="A39">
        <f>ROW(Расходка[[#This Row],[Тип расходного материала ]])-1</f>
        <v>38</v>
      </c>
      <c r="B39" t="s">
        <v>3</v>
      </c>
      <c r="C39" t="s">
        <v>315</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0</v>
      </c>
      <c r="H39" s="115">
        <f>IF(ISNUMBER(SEARCH('Карта учёта'!$B$16,Расходка[[#This Row],[Наименование расходного материала]])),MAX($H$1:H38)+1,0)</f>
        <v>0</v>
      </c>
      <c r="I39" s="115">
        <f>IF(ISNUMBER(SEARCH('Карта учёта'!$B$17,Расходка[[#This Row],[Наименование расходного материала]])),MAX($I$1:I38)+1,0)</f>
        <v>0</v>
      </c>
      <c r="J39" s="115">
        <f>IF(ISNUMBER(SEARCH('Карта учёта'!$B$18,Расходка[[#This Row],[Наименование расходного материала]])),MAX($J$1:J38)+1,0)</f>
        <v>0</v>
      </c>
      <c r="K39" s="115">
        <f>IF(ISNUMBER(SEARCH('Карта учёта'!$B$19,Расходка[[#This Row],[Наименование расходного материала]])),MAX($K$1:K38)+1,0)</f>
        <v>38</v>
      </c>
      <c r="L39" s="115">
        <f>IF(ISNUMBER(SEARCH('Карта учёта'!$B$20,Расходка[[#This Row],[Наименование расходного материала]])),MAX($L$1:L38)+1,0)</f>
        <v>38</v>
      </c>
      <c r="M39" s="115">
        <f>IF(ISNUMBER(SEARCH('Карта учёта'!$B$21,Расходка[[#This Row],[Наименование расходного материала]])),MAX($M$1:M38)+1,0)</f>
        <v>38</v>
      </c>
      <c r="N39" s="115">
        <f>IF(ISNUMBER(SEARCH('Карта учёта'!$B$22,Расходка[[#This Row],[Наименование расходного материала]])),MAX($N$1:N38)+1,0)</f>
        <v>38</v>
      </c>
      <c r="O39" s="115">
        <f>IF(ISNUMBER(SEARCH('Карта учёта'!$B$23,Расходка[[#This Row],[Наименование расходного материала]])),MAX($O$1:O38)+1,0)</f>
        <v>38</v>
      </c>
      <c r="P39" s="115">
        <f>IF(ISNUMBER(SEARCH('Карта учёта'!$B$24,Расходка[[#This Row],[Наименование расходного материала]])),MAX($P$1:P38)+1,0)</f>
        <v>38</v>
      </c>
      <c r="Q39" s="115">
        <f>IF(ISNUMBER(SEARCH('Карта учёта'!$B$25,Расходка[[#This Row],[Наименование расходного материала]])),MAX($Q$1:Q38)+1,0)</f>
        <v>38</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
      </c>
      <c r="U39" s="114" t="str">
        <f>IFERROR(INDEX(Расходка[Наименование расходного материала],MATCH(Расходка[[#This Row],[№]],Поиск_расходки[Индекс4],0)),"")</f>
        <v/>
      </c>
      <c r="V39" s="114" t="str">
        <f>IFERROR(INDEX(Расходка[Наименование расходного материала],MATCH(Расходка[[#This Row],[№]],Поиск_расходки[Индекс5],0)),"")</f>
        <v/>
      </c>
      <c r="W39" s="114" t="str">
        <f>IFERROR(INDEX(Расходка[Наименование расходного материала],MATCH(Расходка[[#This Row],[№]],Поиск_расходки[Индекс6],0)),"")</f>
        <v/>
      </c>
      <c r="X39" s="114" t="str">
        <f>IFERROR(INDEX(Расходка[Наименование расходного материала],MATCH(Расходка[[#This Row],[№]],Поиск_расходки[Индекс7],0)),"")</f>
        <v>Rinato</v>
      </c>
      <c r="Y39" s="114" t="str">
        <f>IFERROR(INDEX(Расходка[Наименование расходного материала],MATCH(Расходка[[#This Row],[№]],Поиск_расходки[Индекс8],0)),"")</f>
        <v>Rinato</v>
      </c>
      <c r="Z39" s="114" t="str">
        <f>IFERROR(INDEX(Расходка[Наименование расходного материала],MATCH(Расходка[[#This Row],[№]],Поиск_расходки[Индекс9],0)),"")</f>
        <v>Rinato</v>
      </c>
      <c r="AA39" s="114" t="str">
        <f>IFERROR(INDEX(Расходка[Наименование расходного материала],MATCH(Расходка[[#This Row],[№]],Поиск_расходки[Индекс10],0)),"")</f>
        <v>Rinato</v>
      </c>
      <c r="AB39" s="114" t="str">
        <f>IFERROR(INDEX(Расходка[Наименование расходного материала],MATCH(Расходка[[#This Row],[№]],Поиск_расходки[Индекс11],0)),"")</f>
        <v>Rinato</v>
      </c>
      <c r="AC39" s="114" t="str">
        <f>IFERROR(INDEX(Расходка[Наименование расходного материала],MATCH(Расходка[[#This Row],[№]],Поиск_расходки[Индекс12],0)),"")</f>
        <v>Rinato</v>
      </c>
      <c r="AD39" s="114" t="str">
        <f>IFERROR(INDEX(Расходка[Наименование расходного материала],MATCH(Расходка[[#This Row],[№]],Поиск_расходки[Индекс13],0)),"")</f>
        <v>Rinato</v>
      </c>
      <c r="AF39" s="4" t="s">
        <v>6</v>
      </c>
      <c r="AG39" s="4" t="s">
        <v>432</v>
      </c>
    </row>
    <row r="40" spans="1:33">
      <c r="A40">
        <f>ROW(Расходка[[#This Row],[Тип расходного материала ]])-1</f>
        <v>39</v>
      </c>
      <c r="B40" t="s">
        <v>3</v>
      </c>
      <c r="C40" s="1" t="s">
        <v>352</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0</v>
      </c>
      <c r="H40" s="115">
        <f>IF(ISNUMBER(SEARCH('Карта учёта'!$B$16,Расходка[[#This Row],[Наименование расходного материала]])),MAX($H$1:H39)+1,0)</f>
        <v>0</v>
      </c>
      <c r="I40" s="115">
        <f>IF(ISNUMBER(SEARCH('Карта учёта'!$B$17,Расходка[[#This Row],[Наименование расходного материала]])),MAX($I$1:I39)+1,0)</f>
        <v>0</v>
      </c>
      <c r="J40" s="115">
        <f>IF(ISNUMBER(SEARCH('Карта учёта'!$B$18,Расходка[[#This Row],[Наименование расходного материала]])),MAX($J$1:J39)+1,0)</f>
        <v>0</v>
      </c>
      <c r="K40" s="115">
        <f>IF(ISNUMBER(SEARCH('Карта учёта'!$B$19,Расходка[[#This Row],[Наименование расходного материала]])),MAX($K$1:K39)+1,0)</f>
        <v>39</v>
      </c>
      <c r="L40" s="115">
        <f>IF(ISNUMBER(SEARCH('Карта учёта'!$B$20,Расходка[[#This Row],[Наименование расходного материала]])),MAX($L$1:L39)+1,0)</f>
        <v>39</v>
      </c>
      <c r="M40" s="115">
        <f>IF(ISNUMBER(SEARCH('Карта учёта'!$B$21,Расходка[[#This Row],[Наименование расходного материала]])),MAX($M$1:M39)+1,0)</f>
        <v>39</v>
      </c>
      <c r="N40" s="115">
        <f>IF(ISNUMBER(SEARCH('Карта учёта'!$B$22,Расходка[[#This Row],[Наименование расходного материала]])),MAX($N$1:N39)+1,0)</f>
        <v>39</v>
      </c>
      <c r="O40" s="115">
        <f>IF(ISNUMBER(SEARCH('Карта учёта'!$B$23,Расходка[[#This Row],[Наименование расходного материала]])),MAX($O$1:O39)+1,0)</f>
        <v>39</v>
      </c>
      <c r="P40" s="115">
        <f>IF(ISNUMBER(SEARCH('Карта учёта'!$B$24,Расходка[[#This Row],[Наименование расходного материала]])),MAX($P$1:P39)+1,0)</f>
        <v>39</v>
      </c>
      <c r="Q40" s="115">
        <f>IF(ISNUMBER(SEARCH('Карта учёта'!$B$25,Расходка[[#This Row],[Наименование расходного материала]])),MAX($Q$1:Q39)+1,0)</f>
        <v>39</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
      </c>
      <c r="U40" s="114" t="str">
        <f>IFERROR(INDEX(Расходка[Наименование расходного материала],MATCH(Расходка[[#This Row],[№]],Поиск_расходки[Индекс4],0)),"")</f>
        <v/>
      </c>
      <c r="V40" s="114" t="str">
        <f>IFERROR(INDEX(Расходка[Наименование расходного материала],MATCH(Расходка[[#This Row],[№]],Поиск_расходки[Индекс5],0)),"")</f>
        <v/>
      </c>
      <c r="W40" s="114" t="str">
        <f>IFERROR(INDEX(Расходка[Наименование расходного материала],MATCH(Расходка[[#This Row],[№]],Поиск_расходки[Индекс6],0)),"")</f>
        <v/>
      </c>
      <c r="X40" s="114" t="str">
        <f>IFERROR(INDEX(Расходка[Наименование расходного материала],MATCH(Расходка[[#This Row],[№]],Поиск_расходки[Индекс7],0)),"")</f>
        <v>Runthrough NS (Floppy)</v>
      </c>
      <c r="Y40" s="114" t="str">
        <f>IFERROR(INDEX(Расходка[Наименование расходного материала],MATCH(Расходка[[#This Row],[№]],Поиск_расходки[Индекс8],0)),"")</f>
        <v>Runthrough NS (Floppy)</v>
      </c>
      <c r="Z40" s="114" t="str">
        <f>IFERROR(INDEX(Расходка[Наименование расходного материала],MATCH(Расходка[[#This Row],[№]],Поиск_расходки[Индекс9],0)),"")</f>
        <v>Runthrough NS (Floppy)</v>
      </c>
      <c r="AA40" s="114" t="str">
        <f>IFERROR(INDEX(Расходка[Наименование расходного материала],MATCH(Расходка[[#This Row],[№]],Поиск_расходки[Индекс10],0)),"")</f>
        <v>Runthrough NS (Floppy)</v>
      </c>
      <c r="AB40" s="114" t="str">
        <f>IFERROR(INDEX(Расходка[Наименование расходного материала],MATCH(Расходка[[#This Row],[№]],Поиск_расходки[Индекс11],0)),"")</f>
        <v>Runthrough NS (Floppy)</v>
      </c>
      <c r="AC40" s="114" t="str">
        <f>IFERROR(INDEX(Расходка[Наименование расходного материала],MATCH(Расходка[[#This Row],[№]],Поиск_расходки[Индекс12],0)),"")</f>
        <v>Runthrough NS (Floppy)</v>
      </c>
      <c r="AD40" s="114" t="str">
        <f>IFERROR(INDEX(Расходка[Наименование расходного материала],MATCH(Расходка[[#This Row],[№]],Поиск_расходки[Индекс13],0)),"")</f>
        <v>Runthrough NS (Floppy)</v>
      </c>
      <c r="AF40" s="4" t="s">
        <v>6</v>
      </c>
      <c r="AG40" s="4" t="s">
        <v>433</v>
      </c>
    </row>
    <row r="41" spans="1:33">
      <c r="A41">
        <f>ROW(Расходка[[#This Row],[Тип расходного материала ]])-1</f>
        <v>40</v>
      </c>
      <c r="B41" t="s">
        <v>3</v>
      </c>
      <c r="C41" s="1" t="s">
        <v>359</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0</v>
      </c>
      <c r="H41" s="115">
        <f>IF(ISNUMBER(SEARCH('Карта учёта'!$B$16,Расходка[[#This Row],[Наименование расходного материала]])),MAX($H$1:H40)+1,0)</f>
        <v>0</v>
      </c>
      <c r="I41" s="115">
        <f>IF(ISNUMBER(SEARCH('Карта учёта'!$B$17,Расходка[[#This Row],[Наименование расходного материала]])),MAX($I$1:I40)+1,0)</f>
        <v>0</v>
      </c>
      <c r="J41" s="115">
        <f>IF(ISNUMBER(SEARCH('Карта учёта'!$B$18,Расходка[[#This Row],[Наименование расходного материала]])),MAX($J$1:J40)+1,0)</f>
        <v>0</v>
      </c>
      <c r="K41" s="115">
        <f>IF(ISNUMBER(SEARCH('Карта учёта'!$B$19,Расходка[[#This Row],[Наименование расходного материала]])),MAX($K$1:K40)+1,0)</f>
        <v>40</v>
      </c>
      <c r="L41" s="115">
        <f>IF(ISNUMBER(SEARCH('Карта учёта'!$B$20,Расходка[[#This Row],[Наименование расходного материала]])),MAX($L$1:L40)+1,0)</f>
        <v>40</v>
      </c>
      <c r="M41" s="115">
        <f>IF(ISNUMBER(SEARCH('Карта учёта'!$B$21,Расходка[[#This Row],[Наименование расходного материала]])),MAX($M$1:M40)+1,0)</f>
        <v>40</v>
      </c>
      <c r="N41" s="115">
        <f>IF(ISNUMBER(SEARCH('Карта учёта'!$B$22,Расходка[[#This Row],[Наименование расходного материала]])),MAX($N$1:N40)+1,0)</f>
        <v>40</v>
      </c>
      <c r="O41" s="115">
        <f>IF(ISNUMBER(SEARCH('Карта учёта'!$B$23,Расходка[[#This Row],[Наименование расходного материала]])),MAX($O$1:O40)+1,0)</f>
        <v>40</v>
      </c>
      <c r="P41" s="115">
        <f>IF(ISNUMBER(SEARCH('Карта учёта'!$B$24,Расходка[[#This Row],[Наименование расходного материала]])),MAX($P$1:P40)+1,0)</f>
        <v>40</v>
      </c>
      <c r="Q41" s="115">
        <f>IF(ISNUMBER(SEARCH('Карта учёта'!$B$25,Расходка[[#This Row],[Наименование расходного материала]])),MAX($Q$1:Q40)+1,0)</f>
        <v>40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
      </c>
      <c r="U41" s="114" t="str">
        <f>IFERROR(INDEX(Расходка[Наименование расходного материала],MATCH(Расходка[[#This Row],[№]],Поиск_расходки[Индекс4],0)),"")</f>
        <v/>
      </c>
      <c r="V41" s="114" t="str">
        <f>IFERROR(INDEX(Расходка[Наименование расходного материала],MATCH(Расходка[[#This Row],[№]],Поиск_расходки[Индекс5],0)),"")</f>
        <v/>
      </c>
      <c r="W41" s="114" t="str">
        <f>IFERROR(INDEX(Расходка[Наименование расходного материала],MATCH(Расходка[[#This Row],[№]],Поиск_расходки[Индекс6],0)),"")</f>
        <v/>
      </c>
      <c r="X41" s="114" t="str">
        <f>IFERROR(INDEX(Расходка[Наименование расходного материала],MATCH(Расходка[[#This Row],[№]],Поиск_расходки[Индекс7],0)),"")</f>
        <v>Runthrough NS Hypercoat</v>
      </c>
      <c r="Y41" s="114" t="str">
        <f>IFERROR(INDEX(Расходка[Наименование расходного материала],MATCH(Расходка[[#This Row],[№]],Поиск_расходки[Индекс8],0)),"")</f>
        <v>Runthrough NS Hypercoat</v>
      </c>
      <c r="Z41" s="114" t="str">
        <f>IFERROR(INDEX(Расходка[Наименование расходного материала],MATCH(Расходка[[#This Row],[№]],Поиск_расходки[Индекс9],0)),"")</f>
        <v>Runthrough NS Hypercoat</v>
      </c>
      <c r="AA41" s="114" t="str">
        <f>IFERROR(INDEX(Расходка[Наименование расходного материала],MATCH(Расходка[[#This Row],[№]],Поиск_расходки[Индекс10],0)),"")</f>
        <v>Runthrough NS Hypercoat</v>
      </c>
      <c r="AB41" s="114" t="str">
        <f>IFERROR(INDEX(Расходка[Наименование расходного материала],MATCH(Расходка[[#This Row],[№]],Поиск_расходки[Индекс11],0)),"")</f>
        <v>Runthrough NS Hypercoat</v>
      </c>
      <c r="AC41" s="114" t="str">
        <f>IFERROR(INDEX(Расходка[Наименование расходного материала],MATCH(Расходка[[#This Row],[№]],Поиск_расходки[Индекс12],0)),"")</f>
        <v>Runthrough NS Hypercoat</v>
      </c>
      <c r="AD41" s="114" t="str">
        <f>IFERROR(INDEX(Расходка[Наименование расходного материала],MATCH(Расходка[[#This Row],[№]],Поиск_расходки[Индекс13],0)),"")</f>
        <v>Runthrough NS Hypercoat</v>
      </c>
      <c r="AF41" s="4" t="s">
        <v>6</v>
      </c>
      <c r="AG41" s="4" t="s">
        <v>434</v>
      </c>
    </row>
    <row r="42" spans="1:33">
      <c r="A42">
        <f>ROW(Расходка[[#This Row],[Тип расходного материала ]])-1</f>
        <v>41</v>
      </c>
      <c r="B42" t="s">
        <v>3</v>
      </c>
      <c r="C42" s="1" t="s">
        <v>358</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0</v>
      </c>
      <c r="H42" s="115">
        <f>IF(ISNUMBER(SEARCH('Карта учёта'!$B$16,Расходка[[#This Row],[Наименование расходного материала]])),MAX($H$1:H41)+1,0)</f>
        <v>0</v>
      </c>
      <c r="I42" s="115">
        <f>IF(ISNUMBER(SEARCH('Карта учёта'!$B$17,Расходка[[#This Row],[Наименование расходного материала]])),MAX($I$1:I41)+1,0)</f>
        <v>0</v>
      </c>
      <c r="J42" s="115">
        <f>IF(ISNUMBER(SEARCH('Карта учёта'!$B$18,Расходка[[#This Row],[Наименование расходного материала]])),MAX($J$1:J41)+1,0)</f>
        <v>0</v>
      </c>
      <c r="K42" s="115">
        <f>IF(ISNUMBER(SEARCH('Карта учёта'!$B$19,Расходка[[#This Row],[Наименование расходного материала]])),MAX($K$1:K41)+1,0)</f>
        <v>41</v>
      </c>
      <c r="L42" s="115">
        <f>IF(ISNUMBER(SEARCH('Карта учёта'!$B$20,Расходка[[#This Row],[Наименование расходного материала]])),MAX($L$1:L41)+1,0)</f>
        <v>41</v>
      </c>
      <c r="M42" s="115">
        <f>IF(ISNUMBER(SEARCH('Карта учёта'!$B$21,Расходка[[#This Row],[Наименование расходного материала]])),MAX($M$1:M41)+1,0)</f>
        <v>41</v>
      </c>
      <c r="N42" s="115">
        <f>IF(ISNUMBER(SEARCH('Карта учёта'!$B$22,Расходка[[#This Row],[Наименование расходного материала]])),MAX($N$1:N41)+1,0)</f>
        <v>41</v>
      </c>
      <c r="O42" s="115">
        <f>IF(ISNUMBER(SEARCH('Карта учёта'!$B$23,Расходка[[#This Row],[Наименование расходного материала]])),MAX($O$1:O41)+1,0)</f>
        <v>41</v>
      </c>
      <c r="P42" s="115">
        <f>IF(ISNUMBER(SEARCH('Карта учёта'!$B$24,Расходка[[#This Row],[Наименование расходного материала]])),MAX($P$1:P41)+1,0)</f>
        <v>41</v>
      </c>
      <c r="Q42" s="115">
        <f>IF(ISNUMBER(SEARCH('Карта учёта'!$B$25,Расходка[[#This Row],[Наименование расходного материала]])),MAX($Q$1:Q41)+1,0)</f>
        <v>41</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
      </c>
      <c r="U42" s="114" t="str">
        <f>IFERROR(INDEX(Расходка[Наименование расходного материала],MATCH(Расходка[[#This Row],[№]],Поиск_расходки[Индекс4],0)),"")</f>
        <v/>
      </c>
      <c r="V42" s="114" t="str">
        <f>IFERROR(INDEX(Расходка[Наименование расходного материала],MATCH(Расходка[[#This Row],[№]],Поиск_расходки[Индекс5],0)),"")</f>
        <v/>
      </c>
      <c r="W42" s="114" t="str">
        <f>IFERROR(INDEX(Расходка[Наименование расходного материала],MATCH(Расходка[[#This Row],[№]],Поиск_расходки[Индекс6],0)),"")</f>
        <v/>
      </c>
      <c r="X42" s="114" t="str">
        <f>IFERROR(INDEX(Расходка[Наименование расходного материала],MATCH(Расходка[[#This Row],[№]],Поиск_расходки[Индекс7],0)),"")</f>
        <v>Runthrough NS Intermediate</v>
      </c>
      <c r="Y42" s="114" t="str">
        <f>IFERROR(INDEX(Расходка[Наименование расходного материала],MATCH(Расходка[[#This Row],[№]],Поиск_расходки[Индекс8],0)),"")</f>
        <v>Runthrough NS Intermediate</v>
      </c>
      <c r="Z42" s="114" t="str">
        <f>IFERROR(INDEX(Расходка[Наименование расходного материала],MATCH(Расходка[[#This Row],[№]],Поиск_расходки[Индекс9],0)),"")</f>
        <v>Runthrough NS Intermediate</v>
      </c>
      <c r="AA42" s="114" t="str">
        <f>IFERROR(INDEX(Расходка[Наименование расходного материала],MATCH(Расходка[[#This Row],[№]],Поиск_расходки[Индекс10],0)),"")</f>
        <v>Runthrough NS Intermediate</v>
      </c>
      <c r="AB42" s="114" t="str">
        <f>IFERROR(INDEX(Расходка[Наименование расходного материала],MATCH(Расходка[[#This Row],[№]],Поиск_расходки[Индекс11],0)),"")</f>
        <v>Runthrough NS Intermediate</v>
      </c>
      <c r="AC42" s="114" t="str">
        <f>IFERROR(INDEX(Расходка[Наименование расходного материала],MATCH(Расходка[[#This Row],[№]],Поиск_расходки[Индекс12],0)),"")</f>
        <v>Runthrough NS Intermediate</v>
      </c>
      <c r="AD42" s="114" t="str">
        <f>IFERROR(INDEX(Расходка[Наименование расходного материала],MATCH(Расходка[[#This Row],[№]],Поиск_расходки[Индекс13],0)),"")</f>
        <v>Runthrough NS Intermediate</v>
      </c>
      <c r="AF42" s="4" t="s">
        <v>6</v>
      </c>
      <c r="AG42" s="4" t="s">
        <v>435</v>
      </c>
    </row>
    <row r="43" spans="1:33">
      <c r="A43">
        <f>ROW(Расходка[[#This Row],[Тип расходного материала ]])-1</f>
        <v>42</v>
      </c>
      <c r="B43" t="s">
        <v>3</v>
      </c>
      <c r="C43" t="s">
        <v>314</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0</v>
      </c>
      <c r="H43" s="115">
        <f>IF(ISNUMBER(SEARCH('Карта учёта'!$B$16,Расходка[[#This Row],[Наименование расходного материала]])),MAX($H$1:H42)+1,0)</f>
        <v>0</v>
      </c>
      <c r="I43" s="115">
        <f>IF(ISNUMBER(SEARCH('Карта учёта'!$B$17,Расходка[[#This Row],[Наименование расходного материала]])),MAX($I$1:I42)+1,0)</f>
        <v>0</v>
      </c>
      <c r="J43" s="115">
        <f>IF(ISNUMBER(SEARCH('Карта учёта'!$B$18,Расходка[[#This Row],[Наименование расходного материала]])),MAX($J$1:J42)+1,0)</f>
        <v>0</v>
      </c>
      <c r="K43" s="115">
        <f>IF(ISNUMBER(SEARCH('Карта учёта'!$B$19,Расходка[[#This Row],[Наименование расходного материала]])),MAX($K$1:K42)+1,0)</f>
        <v>42</v>
      </c>
      <c r="L43" s="115">
        <f>IF(ISNUMBER(SEARCH('Карта учёта'!$B$20,Расходка[[#This Row],[Наименование расходного материала]])),MAX($L$1:L42)+1,0)</f>
        <v>42</v>
      </c>
      <c r="M43" s="115">
        <f>IF(ISNUMBER(SEARCH('Карта учёта'!$B$21,Расходка[[#This Row],[Наименование расходного материала]])),MAX($M$1:M42)+1,0)</f>
        <v>42</v>
      </c>
      <c r="N43" s="115">
        <f>IF(ISNUMBER(SEARCH('Карта учёта'!$B$22,Расходка[[#This Row],[Наименование расходного материала]])),MAX($N$1:N42)+1,0)</f>
        <v>42</v>
      </c>
      <c r="O43" s="115">
        <f>IF(ISNUMBER(SEARCH('Карта учёта'!$B$23,Расходка[[#This Row],[Наименование расходного материала]])),MAX($O$1:O42)+1,0)</f>
        <v>42</v>
      </c>
      <c r="P43" s="115">
        <f>IF(ISNUMBER(SEARCH('Карта учёта'!$B$24,Расходка[[#This Row],[Наименование расходного материала]])),MAX($P$1:P42)+1,0)</f>
        <v>42</v>
      </c>
      <c r="Q43" s="115">
        <f>IF(ISNUMBER(SEARCH('Карта учёта'!$B$25,Расходка[[#This Row],[Наименование расходного материала]])),MAX($Q$1:Q42)+1,0)</f>
        <v>42</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
      </c>
      <c r="U43" s="114" t="str">
        <f>IFERROR(INDEX(Расходка[Наименование расходного материала],MATCH(Расходка[[#This Row],[№]],Поиск_расходки[Индекс4],0)),"")</f>
        <v/>
      </c>
      <c r="V43" s="114" t="str">
        <f>IFERROR(INDEX(Расходка[Наименование расходного материала],MATCH(Расходка[[#This Row],[№]],Поиск_расходки[Индекс5],0)),"")</f>
        <v/>
      </c>
      <c r="W43" s="114" t="str">
        <f>IFERROR(INDEX(Расходка[Наименование расходного материала],MATCH(Расходка[[#This Row],[№]],Поиск_расходки[Индекс6],0)),"")</f>
        <v/>
      </c>
      <c r="X43" s="114" t="str">
        <f>IFERROR(INDEX(Расходка[Наименование расходного материала],MATCH(Расходка[[#This Row],[№]],Поиск_расходки[Индекс7],0)),"")</f>
        <v>Sion</v>
      </c>
      <c r="Y43" s="114" t="str">
        <f>IFERROR(INDEX(Расходка[Наименование расходного материала],MATCH(Расходка[[#This Row],[№]],Поиск_расходки[Индекс8],0)),"")</f>
        <v>Sion</v>
      </c>
      <c r="Z43" s="114" t="str">
        <f>IFERROR(INDEX(Расходка[Наименование расходного материала],MATCH(Расходка[[#This Row],[№]],Поиск_расходки[Индекс9],0)),"")</f>
        <v>Sion</v>
      </c>
      <c r="AA43" s="114" t="str">
        <f>IFERROR(INDEX(Расходка[Наименование расходного материала],MATCH(Расходка[[#This Row],[№]],Поиск_расходки[Индекс10],0)),"")</f>
        <v>Sion</v>
      </c>
      <c r="AB43" s="114" t="str">
        <f>IFERROR(INDEX(Расходка[Наименование расходного материала],MATCH(Расходка[[#This Row],[№]],Поиск_расходки[Индекс11],0)),"")</f>
        <v>Sion</v>
      </c>
      <c r="AC43" s="114" t="str">
        <f>IFERROR(INDEX(Расходка[Наименование расходного материала],MATCH(Расходка[[#This Row],[№]],Поиск_расходки[Индекс12],0)),"")</f>
        <v>Sion</v>
      </c>
      <c r="AD43" s="114" t="str">
        <f>IFERROR(INDEX(Расходка[Наименование расходного материала],MATCH(Расходка[[#This Row],[№]],Поиск_расходки[Индекс13],0)),"")</f>
        <v>Sion</v>
      </c>
      <c r="AF43" s="4" t="s">
        <v>6</v>
      </c>
      <c r="AG43" s="4" t="s">
        <v>408</v>
      </c>
    </row>
    <row r="44" spans="1:33">
      <c r="A44">
        <f>ROW(Расходка[[#This Row],[Тип расходного материала ]])-1</f>
        <v>43</v>
      </c>
      <c r="B44" t="s">
        <v>3</v>
      </c>
      <c r="C44" t="s">
        <v>376</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0</v>
      </c>
      <c r="H44" s="115">
        <f>IF(ISNUMBER(SEARCH('Карта учёта'!$B$16,Расходка[[#This Row],[Наименование расходного материала]])),MAX($H$1:H43)+1,0)</f>
        <v>0</v>
      </c>
      <c r="I44" s="115">
        <f>IF(ISNUMBER(SEARCH('Карта учёта'!$B$17,Расходка[[#This Row],[Наименование расходного материала]])),MAX($I$1:I43)+1,0)</f>
        <v>0</v>
      </c>
      <c r="J44" s="115">
        <f>IF(ISNUMBER(SEARCH('Карта учёта'!$B$18,Расходка[[#This Row],[Наименование расходного материала]])),MAX($J$1:J43)+1,0)</f>
        <v>0</v>
      </c>
      <c r="K44" s="115">
        <f>IF(ISNUMBER(SEARCH('Карта учёта'!$B$19,Расходка[[#This Row],[Наименование расходного материала]])),MAX($K$1:K43)+1,0)</f>
        <v>43</v>
      </c>
      <c r="L44" s="115">
        <f>IF(ISNUMBER(SEARCH('Карта учёта'!$B$20,Расходка[[#This Row],[Наименование расходного материала]])),MAX($L$1:L43)+1,0)</f>
        <v>43</v>
      </c>
      <c r="M44" s="115">
        <f>IF(ISNUMBER(SEARCH('Карта учёта'!$B$21,Расходка[[#This Row],[Наименование расходного материала]])),MAX($M$1:M43)+1,0)</f>
        <v>43</v>
      </c>
      <c r="N44" s="115">
        <f>IF(ISNUMBER(SEARCH('Карта учёта'!$B$22,Расходка[[#This Row],[Наименование расходного материала]])),MAX($N$1:N43)+1,0)</f>
        <v>43</v>
      </c>
      <c r="O44" s="115">
        <f>IF(ISNUMBER(SEARCH('Карта учёта'!$B$23,Расходка[[#This Row],[Наименование расходного материала]])),MAX($O$1:O43)+1,0)</f>
        <v>43</v>
      </c>
      <c r="P44" s="115">
        <f>IF(ISNUMBER(SEARCH('Карта учёта'!$B$24,Расходка[[#This Row],[Наименование расходного материала]])),MAX($P$1:P43)+1,0)</f>
        <v>43</v>
      </c>
      <c r="Q44" s="115">
        <f>IF(ISNUMBER(SEARCH('Карта учёта'!$B$25,Расходка[[#This Row],[Наименование расходного материала]])),MAX($Q$1:Q43)+1,0)</f>
        <v>43</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
      </c>
      <c r="U44" s="114" t="str">
        <f>IFERROR(INDEX(Расходка[Наименование расходного материала],MATCH(Расходка[[#This Row],[№]],Поиск_расходки[Индекс4],0)),"")</f>
        <v/>
      </c>
      <c r="V44" s="114" t="str">
        <f>IFERROR(INDEX(Расходка[Наименование расходного материала],MATCH(Расходка[[#This Row],[№]],Поиск_расходки[Индекс5],0)),"")</f>
        <v/>
      </c>
      <c r="W44" s="114" t="str">
        <f>IFERROR(INDEX(Расходка[Наименование расходного материала],MATCH(Расходка[[#This Row],[№]],Поиск_расходки[Индекс6],0)),"")</f>
        <v/>
      </c>
      <c r="X44" s="114" t="str">
        <f>IFERROR(INDEX(Расходка[Наименование расходного материала],MATCH(Расходка[[#This Row],[№]],Поиск_расходки[Индекс7],0)),"")</f>
        <v>Sion Black</v>
      </c>
      <c r="Y44" s="114" t="str">
        <f>IFERROR(INDEX(Расходка[Наименование расходного материала],MATCH(Расходка[[#This Row],[№]],Поиск_расходки[Индекс8],0)),"")</f>
        <v>Sion Black</v>
      </c>
      <c r="Z44" s="114" t="str">
        <f>IFERROR(INDEX(Расходка[Наименование расходного материала],MATCH(Расходка[[#This Row],[№]],Поиск_расходки[Индекс9],0)),"")</f>
        <v>Sion Black</v>
      </c>
      <c r="AA44" s="114" t="str">
        <f>IFERROR(INDEX(Расходка[Наименование расходного материала],MATCH(Расходка[[#This Row],[№]],Поиск_расходки[Индекс10],0)),"")</f>
        <v>Sion Black</v>
      </c>
      <c r="AB44" s="114" t="str">
        <f>IFERROR(INDEX(Расходка[Наименование расходного материала],MATCH(Расходка[[#This Row],[№]],Поиск_расходки[Индекс11],0)),"")</f>
        <v>Sion Black</v>
      </c>
      <c r="AC44" s="114" t="str">
        <f>IFERROR(INDEX(Расходка[Наименование расходного материала],MATCH(Расходка[[#This Row],[№]],Поиск_расходки[Индекс12],0)),"")</f>
        <v>Sion Black</v>
      </c>
      <c r="AD44" s="114" t="str">
        <f>IFERROR(INDEX(Расходка[Наименование расходного материала],MATCH(Расходка[[#This Row],[№]],Поиск_расходки[Индекс13],0)),"")</f>
        <v>Sion Black</v>
      </c>
      <c r="AF44" s="4" t="s">
        <v>6</v>
      </c>
      <c r="AG44" s="4" t="s">
        <v>436</v>
      </c>
    </row>
    <row r="45" spans="1:33">
      <c r="A45">
        <f>ROW(Расходка[[#This Row],[Тип расходного материала ]])-1</f>
        <v>44</v>
      </c>
      <c r="B45" t="s">
        <v>3</v>
      </c>
      <c r="C45" s="1" t="s">
        <v>370</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0</v>
      </c>
      <c r="H45" s="115">
        <f>IF(ISNUMBER(SEARCH('Карта учёта'!$B$16,Расходка[[#This Row],[Наименование расходного материала]])),MAX($H$1:H44)+1,0)</f>
        <v>0</v>
      </c>
      <c r="I45" s="115">
        <f>IF(ISNUMBER(SEARCH('Карта учёта'!$B$17,Расходка[[#This Row],[Наименование расходного материала]])),MAX($I$1:I44)+1,0)</f>
        <v>0</v>
      </c>
      <c r="J45" s="115">
        <f>IF(ISNUMBER(SEARCH('Карта учёта'!$B$18,Расходка[[#This Row],[Наименование расходного материала]])),MAX($J$1:J44)+1,0)</f>
        <v>0</v>
      </c>
      <c r="K45" s="115">
        <f>IF(ISNUMBER(SEARCH('Карта учёта'!$B$19,Расходка[[#This Row],[Наименование расходного материала]])),MAX($K$1:K44)+1,0)</f>
        <v>44</v>
      </c>
      <c r="L45" s="115">
        <f>IF(ISNUMBER(SEARCH('Карта учёта'!$B$20,Расходка[[#This Row],[Наименование расходного материала]])),MAX($L$1:L44)+1,0)</f>
        <v>44</v>
      </c>
      <c r="M45" s="115">
        <f>IF(ISNUMBER(SEARCH('Карта учёта'!$B$21,Расходка[[#This Row],[Наименование расходного материала]])),MAX($M$1:M44)+1,0)</f>
        <v>44</v>
      </c>
      <c r="N45" s="115">
        <f>IF(ISNUMBER(SEARCH('Карта учёта'!$B$22,Расходка[[#This Row],[Наименование расходного материала]])),MAX($N$1:N44)+1,0)</f>
        <v>44</v>
      </c>
      <c r="O45" s="115">
        <f>IF(ISNUMBER(SEARCH('Карта учёта'!$B$23,Расходка[[#This Row],[Наименование расходного материала]])),MAX($O$1:O44)+1,0)</f>
        <v>44</v>
      </c>
      <c r="P45" s="115">
        <f>IF(ISNUMBER(SEARCH('Карта учёта'!$B$24,Расходка[[#This Row],[Наименование расходного материала]])),MAX($P$1:P44)+1,0)</f>
        <v>44</v>
      </c>
      <c r="Q45" s="115">
        <f>IF(ISNUMBER(SEARCH('Карта учёта'!$B$25,Расходка[[#This Row],[Наименование расходного материала]])),MAX($Q$1:Q44)+1,0)</f>
        <v>44</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
      </c>
      <c r="U45" s="114" t="str">
        <f>IFERROR(INDEX(Расходка[Наименование расходного материала],MATCH(Расходка[[#This Row],[№]],Поиск_расходки[Индекс4],0)),"")</f>
        <v/>
      </c>
      <c r="V45" s="114" t="str">
        <f>IFERROR(INDEX(Расходка[Наименование расходного материала],MATCH(Расходка[[#This Row],[№]],Поиск_расходки[Индекс5],0)),"")</f>
        <v/>
      </c>
      <c r="W45" s="114" t="str">
        <f>IFERROR(INDEX(Расходка[Наименование расходного материала],MATCH(Расходка[[#This Row],[№]],Поиск_расходки[Индекс6],0)),"")</f>
        <v/>
      </c>
      <c r="X45" s="114" t="str">
        <f>IFERROR(INDEX(Расходка[Наименование расходного материала],MATCH(Расходка[[#This Row],[№]],Поиск_расходки[Индекс7],0)),"")</f>
        <v>Sion Blue</v>
      </c>
      <c r="Y45" s="114" t="str">
        <f>IFERROR(INDEX(Расходка[Наименование расходного материала],MATCH(Расходка[[#This Row],[№]],Поиск_расходки[Индекс8],0)),"")</f>
        <v>Sion Blue</v>
      </c>
      <c r="Z45" s="114" t="str">
        <f>IFERROR(INDEX(Расходка[Наименование расходного материала],MATCH(Расходка[[#This Row],[№]],Поиск_расходки[Индекс9],0)),"")</f>
        <v>Sion Blue</v>
      </c>
      <c r="AA45" s="114" t="str">
        <f>IFERROR(INDEX(Расходка[Наименование расходного материала],MATCH(Расходка[[#This Row],[№]],Поиск_расходки[Индекс10],0)),"")</f>
        <v>Sion Blue</v>
      </c>
      <c r="AB45" s="114" t="str">
        <f>IFERROR(INDEX(Расходка[Наименование расходного материала],MATCH(Расходка[[#This Row],[№]],Поиск_расходки[Индекс11],0)),"")</f>
        <v>Sion Blue</v>
      </c>
      <c r="AC45" s="114" t="str">
        <f>IFERROR(INDEX(Расходка[Наименование расходного материала],MATCH(Расходка[[#This Row],[№]],Поиск_расходки[Индекс12],0)),"")</f>
        <v>Sion Blue</v>
      </c>
      <c r="AD45" s="114" t="str">
        <f>IFERROR(INDEX(Расходка[Наименование расходного материала],MATCH(Расходка[[#This Row],[№]],Поиск_расходки[Индекс13],0)),"")</f>
        <v>Sion Blue</v>
      </c>
      <c r="AF45" s="4" t="s">
        <v>6</v>
      </c>
      <c r="AG45" s="4" t="s">
        <v>437</v>
      </c>
    </row>
    <row r="46" spans="1:33">
      <c r="A46">
        <f>ROW(Расходка[[#This Row],[Тип расходного материала ]])-1</f>
        <v>45</v>
      </c>
      <c r="B46" t="s">
        <v>3</v>
      </c>
      <c r="C46" t="s">
        <v>316</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0</v>
      </c>
      <c r="H46" s="115">
        <f>IF(ISNUMBER(SEARCH('Карта учёта'!$B$16,Расходка[[#This Row],[Наименование расходного материала]])),MAX($H$1:H45)+1,0)</f>
        <v>0</v>
      </c>
      <c r="I46" s="115">
        <f>IF(ISNUMBER(SEARCH('Карта учёта'!$B$17,Расходка[[#This Row],[Наименование расходного материала]])),MAX($I$1:I45)+1,0)</f>
        <v>0</v>
      </c>
      <c r="J46" s="115">
        <f>IF(ISNUMBER(SEARCH('Карта учёта'!$B$18,Расходка[[#This Row],[Наименование расходного материала]])),MAX($J$1:J45)+1,0)</f>
        <v>0</v>
      </c>
      <c r="K46" s="115">
        <f>IF(ISNUMBER(SEARCH('Карта учёта'!$B$19,Расходка[[#This Row],[Наименование расходного материала]])),MAX($K$1:K45)+1,0)</f>
        <v>45</v>
      </c>
      <c r="L46" s="115">
        <f>IF(ISNUMBER(SEARCH('Карта учёта'!$B$20,Расходка[[#This Row],[Наименование расходного материала]])),MAX($L$1:L45)+1,0)</f>
        <v>45</v>
      </c>
      <c r="M46" s="115">
        <f>IF(ISNUMBER(SEARCH('Карта учёта'!$B$21,Расходка[[#This Row],[Наименование расходного материала]])),MAX($M$1:M45)+1,0)</f>
        <v>45</v>
      </c>
      <c r="N46" s="115">
        <f>IF(ISNUMBER(SEARCH('Карта учёта'!$B$22,Расходка[[#This Row],[Наименование расходного материала]])),MAX($N$1:N45)+1,0)</f>
        <v>45</v>
      </c>
      <c r="O46" s="115">
        <f>IF(ISNUMBER(SEARCH('Карта учёта'!$B$23,Расходка[[#This Row],[Наименование расходного материала]])),MAX($O$1:O45)+1,0)</f>
        <v>45</v>
      </c>
      <c r="P46" s="115">
        <f>IF(ISNUMBER(SEARCH('Карта учёта'!$B$24,Расходка[[#This Row],[Наименование расходного материала]])),MAX($P$1:P45)+1,0)</f>
        <v>45</v>
      </c>
      <c r="Q46" s="115">
        <f>IF(ISNUMBER(SEARCH('Карта учёта'!$B$25,Расходка[[#This Row],[Наименование расходного материала]])),MAX($Q$1:Q45)+1,0)</f>
        <v>45</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
      </c>
      <c r="U46" s="114" t="str">
        <f>IFERROR(INDEX(Расходка[Наименование расходного материала],MATCH(Расходка[[#This Row],[№]],Поиск_расходки[Индекс4],0)),"")</f>
        <v/>
      </c>
      <c r="V46" s="114" t="str">
        <f>IFERROR(INDEX(Расходка[Наименование расходного материала],MATCH(Расходка[[#This Row],[№]],Поиск_расходки[Индекс5],0)),"")</f>
        <v/>
      </c>
      <c r="W46" s="114" t="str">
        <f>IFERROR(INDEX(Расходка[Наименование расходного материала],MATCH(Расходка[[#This Row],[№]],Поиск_расходки[Индекс6],0)),"")</f>
        <v/>
      </c>
      <c r="X46" s="114" t="str">
        <f>IFERROR(INDEX(Расходка[Наименование расходного материала],MATCH(Расходка[[#This Row],[№]],Поиск_расходки[Индекс7],0)),"")</f>
        <v>Thunder</v>
      </c>
      <c r="Y46" s="114" t="str">
        <f>IFERROR(INDEX(Расходка[Наименование расходного материала],MATCH(Расходка[[#This Row],[№]],Поиск_расходки[Индекс8],0)),"")</f>
        <v>Thunder</v>
      </c>
      <c r="Z46" s="114" t="str">
        <f>IFERROR(INDEX(Расходка[Наименование расходного материала],MATCH(Расходка[[#This Row],[№]],Поиск_расходки[Индекс9],0)),"")</f>
        <v>Thunder</v>
      </c>
      <c r="AA46" s="114" t="str">
        <f>IFERROR(INDEX(Расходка[Наименование расходного материала],MATCH(Расходка[[#This Row],[№]],Поиск_расходки[Индекс10],0)),"")</f>
        <v>Thunder</v>
      </c>
      <c r="AB46" s="114" t="str">
        <f>IFERROR(INDEX(Расходка[Наименование расходного материала],MATCH(Расходка[[#This Row],[№]],Поиск_расходки[Индекс11],0)),"")</f>
        <v>Thunder</v>
      </c>
      <c r="AC46" s="114" t="str">
        <f>IFERROR(INDEX(Расходка[Наименование расходного материала],MATCH(Расходка[[#This Row],[№]],Поиск_расходки[Индекс12],0)),"")</f>
        <v>Thunder</v>
      </c>
      <c r="AD46" s="114" t="str">
        <f>IFERROR(INDEX(Расходка[Наименование расходного материала],MATCH(Расходка[[#This Row],[№]],Поиск_расходки[Индекс13],0)),"")</f>
        <v>Thunder</v>
      </c>
      <c r="AF46" s="4" t="s">
        <v>6</v>
      </c>
      <c r="AG46" s="4" t="s">
        <v>438</v>
      </c>
    </row>
    <row r="47" spans="1:33">
      <c r="A47">
        <f>ROW(Расходка[[#This Row],[Тип расходного материала ]])-1</f>
        <v>46</v>
      </c>
      <c r="B47" t="s">
        <v>3</v>
      </c>
      <c r="C47" t="s">
        <v>517</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0</v>
      </c>
      <c r="H47" s="115">
        <f>IF(ISNUMBER(SEARCH('Карта учёта'!$B$16,Расходка[[#This Row],[Наименование расходного материала]])),MAX($H$1:H46)+1,0)</f>
        <v>0</v>
      </c>
      <c r="I47" s="115">
        <f>IF(ISNUMBER(SEARCH('Карта учёта'!$B$17,Расходка[[#This Row],[Наименование расходного материала]])),MAX($I$1:I46)+1,0)</f>
        <v>0</v>
      </c>
      <c r="J47" s="115">
        <f>IF(ISNUMBER(SEARCH('Карта учёта'!$B$18,Расходка[[#This Row],[Наименование расходного материала]])),MAX($J$1:J46)+1,0)</f>
        <v>0</v>
      </c>
      <c r="K47" s="115">
        <f>IF(ISNUMBER(SEARCH('Карта учёта'!$B$19,Расходка[[#This Row],[Наименование расходного материала]])),MAX($K$1:K46)+1,0)</f>
        <v>46</v>
      </c>
      <c r="L47" s="115">
        <f>IF(ISNUMBER(SEARCH('Карта учёта'!$B$20,Расходка[[#This Row],[Наименование расходного материала]])),MAX($L$1:L46)+1,0)</f>
        <v>46</v>
      </c>
      <c r="M47" s="115">
        <f>IF(ISNUMBER(SEARCH('Карта учёта'!$B$21,Расходка[[#This Row],[Наименование расходного материала]])),MAX($M$1:M46)+1,0)</f>
        <v>46</v>
      </c>
      <c r="N47" s="115">
        <f>IF(ISNUMBER(SEARCH('Карта учёта'!$B$22,Расходка[[#This Row],[Наименование расходного материала]])),MAX($N$1:N46)+1,0)</f>
        <v>46</v>
      </c>
      <c r="O47" s="115">
        <f>IF(ISNUMBER(SEARCH('Карта учёта'!$B$23,Расходка[[#This Row],[Наименование расходного материала]])),MAX($O$1:O46)+1,0)</f>
        <v>46</v>
      </c>
      <c r="P47" s="115">
        <f>IF(ISNUMBER(SEARCH('Карта учёта'!$B$24,Расходка[[#This Row],[Наименование расходного материала]])),MAX($P$1:P46)+1,0)</f>
        <v>46</v>
      </c>
      <c r="Q47" s="115">
        <f>IF(ISNUMBER(SEARCH('Карта учёта'!$B$25,Расходка[[#This Row],[Наименование расходного материала]])),MAX($Q$1:Q46)+1,0)</f>
        <v>46</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
      </c>
      <c r="U47" s="114" t="str">
        <f>IFERROR(INDEX(Расходка[Наименование расходного материала],MATCH(Расходка[[#This Row],[№]],Поиск_расходки[Индекс4],0)),"")</f>
        <v/>
      </c>
      <c r="V47" s="114" t="str">
        <f>IFERROR(INDEX(Расходка[Наименование расходного материала],MATCH(Расходка[[#This Row],[№]],Поиск_расходки[Индекс5],0)),"")</f>
        <v/>
      </c>
      <c r="W47" s="114" t="str">
        <f>IFERROR(INDEX(Расходка[Наименование расходного материала],MATCH(Расходка[[#This Row],[№]],Поиск_расходки[Индекс6],0)),"")</f>
        <v/>
      </c>
      <c r="X47" s="114" t="str">
        <f>IFERROR(INDEX(Расходка[Наименование расходного материала],MATCH(Расходка[[#This Row],[№]],Поиск_расходки[Индекс7],0)),"")</f>
        <v>Abbot Whisper MS</v>
      </c>
      <c r="Y47" s="114" t="str">
        <f>IFERROR(INDEX(Расходка[Наименование расходного материала],MATCH(Расходка[[#This Row],[№]],Поиск_расходки[Индекс8],0)),"")</f>
        <v>Abbot Whisper MS</v>
      </c>
      <c r="Z47" s="114" t="str">
        <f>IFERROR(INDEX(Расходка[Наименование расходного материала],MATCH(Расходка[[#This Row],[№]],Поиск_расходки[Индекс9],0)),"")</f>
        <v>Abbot Whisper MS</v>
      </c>
      <c r="AA47" s="114" t="str">
        <f>IFERROR(INDEX(Расходка[Наименование расходного материала],MATCH(Расходка[[#This Row],[№]],Поиск_расходки[Индекс10],0)),"")</f>
        <v>Abbot Whisper MS</v>
      </c>
      <c r="AB47" s="114" t="str">
        <f>IFERROR(INDEX(Расходка[Наименование расходного материала],MATCH(Расходка[[#This Row],[№]],Поиск_расходки[Индекс11],0)),"")</f>
        <v>Abbot Whisper MS</v>
      </c>
      <c r="AC47" s="114" t="str">
        <f>IFERROR(INDEX(Расходка[Наименование расходного материала],MATCH(Расходка[[#This Row],[№]],Поиск_расходки[Индекс12],0)),"")</f>
        <v>Abbot Whisper MS</v>
      </c>
      <c r="AD47" s="114" t="str">
        <f>IFERROR(INDEX(Расходка[Наименование расходного материала],MATCH(Расходка[[#This Row],[№]],Поиск_расходки[Индекс13],0)),"")</f>
        <v>Abbot Whisper MS</v>
      </c>
      <c r="AF47" s="4" t="s">
        <v>6</v>
      </c>
      <c r="AG47" s="4" t="s">
        <v>439</v>
      </c>
    </row>
    <row r="48" spans="1:33">
      <c r="A48">
        <f>ROW(Расходка[[#This Row],[Тип расходного материала ]])-1</f>
        <v>47</v>
      </c>
      <c r="B48" t="s">
        <v>3</v>
      </c>
      <c r="C48" t="s">
        <v>518</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0</v>
      </c>
      <c r="H48" s="115">
        <f>IF(ISNUMBER(SEARCH('Карта учёта'!$B$16,Расходка[[#This Row],[Наименование расходного материала]])),MAX($H$1:H47)+1,0)</f>
        <v>0</v>
      </c>
      <c r="I48" s="115">
        <f>IF(ISNUMBER(SEARCH('Карта учёта'!$B$17,Расходка[[#This Row],[Наименование расходного материала]])),MAX($I$1:I47)+1,0)</f>
        <v>0</v>
      </c>
      <c r="J48" s="115">
        <f>IF(ISNUMBER(SEARCH('Карта учёта'!$B$18,Расходка[[#This Row],[Наименование расходного материала]])),MAX($J$1:J47)+1,0)</f>
        <v>0</v>
      </c>
      <c r="K48" s="115">
        <f>IF(ISNUMBER(SEARCH('Карта учёта'!$B$19,Расходка[[#This Row],[Наименование расходного материала]])),MAX($K$1:K47)+1,0)</f>
        <v>47</v>
      </c>
      <c r="L48" s="115">
        <f>IF(ISNUMBER(SEARCH('Карта учёта'!$B$20,Расходка[[#This Row],[Наименование расходного материала]])),MAX($L$1:L47)+1,0)</f>
        <v>47</v>
      </c>
      <c r="M48" s="115">
        <f>IF(ISNUMBER(SEARCH('Карта учёта'!$B$21,Расходка[[#This Row],[Наименование расходного материала]])),MAX($M$1:M47)+1,0)</f>
        <v>47</v>
      </c>
      <c r="N48" s="115">
        <f>IF(ISNUMBER(SEARCH('Карта учёта'!$B$22,Расходка[[#This Row],[Наименование расходного материала]])),MAX($N$1:N47)+1,0)</f>
        <v>47</v>
      </c>
      <c r="O48" s="115">
        <f>IF(ISNUMBER(SEARCH('Карта учёта'!$B$23,Расходка[[#This Row],[Наименование расходного материала]])),MAX($O$1:O47)+1,0)</f>
        <v>47</v>
      </c>
      <c r="P48" s="115">
        <f>IF(ISNUMBER(SEARCH('Карта учёта'!$B$24,Расходка[[#This Row],[Наименование расходного материала]])),MAX($P$1:P47)+1,0)</f>
        <v>47</v>
      </c>
      <c r="Q48" s="115">
        <f>IF(ISNUMBER(SEARCH('Карта учёта'!$B$25,Расходка[[#This Row],[Наименование расходного материала]])),MAX($Q$1:Q47)+1,0)</f>
        <v>47</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
      </c>
      <c r="U48" s="114" t="str">
        <f>IFERROR(INDEX(Расходка[Наименование расходного материала],MATCH(Расходка[[#This Row],[№]],Поиск_расходки[Индекс4],0)),"")</f>
        <v/>
      </c>
      <c r="V48" s="114" t="str">
        <f>IFERROR(INDEX(Расходка[Наименование расходного материала],MATCH(Расходка[[#This Row],[№]],Поиск_расходки[Индекс5],0)),"")</f>
        <v/>
      </c>
      <c r="W48" s="114" t="str">
        <f>IFERROR(INDEX(Расходка[Наименование расходного материала],MATCH(Расходка[[#This Row],[№]],Поиск_расходки[Индекс6],0)),"")</f>
        <v/>
      </c>
      <c r="X48" s="114" t="str">
        <f>IFERROR(INDEX(Расходка[Наименование расходного материала],MATCH(Расходка[[#This Row],[№]],Поиск_расходки[Индекс7],0)),"")</f>
        <v>Abbot Whisper LS</v>
      </c>
      <c r="Y48" s="114" t="str">
        <f>IFERROR(INDEX(Расходка[Наименование расходного материала],MATCH(Расходка[[#This Row],[№]],Поиск_расходки[Индекс8],0)),"")</f>
        <v>Abbot Whisper LS</v>
      </c>
      <c r="Z48" s="114" t="str">
        <f>IFERROR(INDEX(Расходка[Наименование расходного материала],MATCH(Расходка[[#This Row],[№]],Поиск_расходки[Индекс9],0)),"")</f>
        <v>Abbot Whisper LS</v>
      </c>
      <c r="AA48" s="114" t="str">
        <f>IFERROR(INDEX(Расходка[Наименование расходного материала],MATCH(Расходка[[#This Row],[№]],Поиск_расходки[Индекс10],0)),"")</f>
        <v>Abbot Whisper LS</v>
      </c>
      <c r="AB48" s="114" t="str">
        <f>IFERROR(INDEX(Расходка[Наименование расходного материала],MATCH(Расходка[[#This Row],[№]],Поиск_расходки[Индекс11],0)),"")</f>
        <v>Abbot Whisper LS</v>
      </c>
      <c r="AC48" s="114" t="str">
        <f>IFERROR(INDEX(Расходка[Наименование расходного материала],MATCH(Расходка[[#This Row],[№]],Поиск_расходки[Индекс12],0)),"")</f>
        <v>Abbot Whisper LS</v>
      </c>
      <c r="AD48" s="114" t="str">
        <f>IFERROR(INDEX(Расходка[Наименование расходного материала],MATCH(Расходка[[#This Row],[№]],Поиск_расходки[Индекс13],0)),"")</f>
        <v>Abbot Whisper LS</v>
      </c>
      <c r="AF48" s="4" t="s">
        <v>6</v>
      </c>
      <c r="AG48" s="4" t="s">
        <v>440</v>
      </c>
    </row>
    <row r="49" spans="1:33">
      <c r="A49">
        <f>ROW(Расходка[[#This Row],[Тип расходного материала ]])-1</f>
        <v>48</v>
      </c>
      <c r="B49" t="s">
        <v>3</v>
      </c>
      <c r="C49" t="s">
        <v>360</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0</v>
      </c>
      <c r="H49" s="115">
        <f>IF(ISNUMBER(SEARCH('Карта учёта'!$B$16,Расходка[[#This Row],[Наименование расходного материала]])),MAX($H$1:H48)+1,0)</f>
        <v>0</v>
      </c>
      <c r="I49" s="115">
        <f>IF(ISNUMBER(SEARCH('Карта учёта'!$B$17,Расходка[[#This Row],[Наименование расходного материала]])),MAX($I$1:I48)+1,0)</f>
        <v>0</v>
      </c>
      <c r="J49" s="115">
        <f>IF(ISNUMBER(SEARCH('Карта учёта'!$B$18,Расходка[[#This Row],[Наименование расходного материала]])),MAX($J$1:J48)+1,0)</f>
        <v>0</v>
      </c>
      <c r="K49" s="115">
        <f>IF(ISNUMBER(SEARCH('Карта учёта'!$B$19,Расходка[[#This Row],[Наименование расходного материала]])),MAX($K$1:K48)+1,0)</f>
        <v>48</v>
      </c>
      <c r="L49" s="115">
        <f>IF(ISNUMBER(SEARCH('Карта учёта'!$B$20,Расходка[[#This Row],[Наименование расходного материала]])),MAX($L$1:L48)+1,0)</f>
        <v>48</v>
      </c>
      <c r="M49" s="115">
        <f>IF(ISNUMBER(SEARCH('Карта учёта'!$B$21,Расходка[[#This Row],[Наименование расходного материала]])),MAX($M$1:M48)+1,0)</f>
        <v>48</v>
      </c>
      <c r="N49" s="115">
        <f>IF(ISNUMBER(SEARCH('Карта учёта'!$B$22,Расходка[[#This Row],[Наименование расходного материала]])),MAX($N$1:N48)+1,0)</f>
        <v>48</v>
      </c>
      <c r="O49" s="115">
        <f>IF(ISNUMBER(SEARCH('Карта учёта'!$B$23,Расходка[[#This Row],[Наименование расходного материала]])),MAX($O$1:O48)+1,0)</f>
        <v>48</v>
      </c>
      <c r="P49" s="115">
        <f>IF(ISNUMBER(SEARCH('Карта учёта'!$B$24,Расходка[[#This Row],[Наименование расходного материала]])),MAX($P$1:P48)+1,0)</f>
        <v>48</v>
      </c>
      <c r="Q49" s="115">
        <f>IF(ISNUMBER(SEARCH('Карта учёта'!$B$25,Расходка[[#This Row],[Наименование расходного материала]])),MAX($Q$1:Q48)+1,0)</f>
        <v>48</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
      </c>
      <c r="U49" s="114" t="str">
        <f>IFERROR(INDEX(Расходка[Наименование расходного материала],MATCH(Расходка[[#This Row],[№]],Поиск_расходки[Индекс4],0)),"")</f>
        <v/>
      </c>
      <c r="V49" s="114" t="str">
        <f>IFERROR(INDEX(Расходка[Наименование расходного материала],MATCH(Расходка[[#This Row],[№]],Поиск_расходки[Индекс5],0)),"")</f>
        <v/>
      </c>
      <c r="W49" s="114" t="str">
        <f>IFERROR(INDEX(Расходка[Наименование расходного материала],MATCH(Расходка[[#This Row],[№]],Поиск_расходки[Индекс6],0)),"")</f>
        <v/>
      </c>
      <c r="X49" s="114" t="str">
        <f>IFERROR(INDEX(Расходка[Наименование расходного материала],MATCH(Расходка[[#This Row],[№]],Поиск_расходки[Индекс7],0)),"")</f>
        <v>Winn 200T</v>
      </c>
      <c r="Y49" s="114" t="str">
        <f>IFERROR(INDEX(Расходка[Наименование расходного материала],MATCH(Расходка[[#This Row],[№]],Поиск_расходки[Индекс8],0)),"")</f>
        <v>Winn 200T</v>
      </c>
      <c r="Z49" s="114" t="str">
        <f>IFERROR(INDEX(Расходка[Наименование расходного материала],MATCH(Расходка[[#This Row],[№]],Поиск_расходки[Индекс9],0)),"")</f>
        <v>Winn 200T</v>
      </c>
      <c r="AA49" s="114" t="str">
        <f>IFERROR(INDEX(Расходка[Наименование расходного материала],MATCH(Расходка[[#This Row],[№]],Поиск_расходки[Индекс10],0)),"")</f>
        <v>Winn 200T</v>
      </c>
      <c r="AB49" s="114" t="str">
        <f>IFERROR(INDEX(Расходка[Наименование расходного материала],MATCH(Расходка[[#This Row],[№]],Поиск_расходки[Индекс11],0)),"")</f>
        <v>Winn 200T</v>
      </c>
      <c r="AC49" s="114" t="str">
        <f>IFERROR(INDEX(Расходка[Наименование расходного материала],MATCH(Расходка[[#This Row],[№]],Поиск_расходки[Индекс12],0)),"")</f>
        <v>Winn 200T</v>
      </c>
      <c r="AD49" s="114" t="str">
        <f>IFERROR(INDEX(Расходка[Наименование расходного материала],MATCH(Расходка[[#This Row],[№]],Поиск_расходки[Индекс13],0)),"")</f>
        <v>Winn 200T</v>
      </c>
      <c r="AF49" s="4" t="s">
        <v>6</v>
      </c>
      <c r="AG49" s="4" t="s">
        <v>441</v>
      </c>
    </row>
    <row r="50" spans="1:33">
      <c r="A50">
        <f>ROW(Расходка[[#This Row],[Тип расходного материала ]])-1</f>
        <v>49</v>
      </c>
      <c r="B50" t="s">
        <v>3</v>
      </c>
      <c r="C50" t="s">
        <v>345</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0</v>
      </c>
      <c r="H50" s="115">
        <f>IF(ISNUMBER(SEARCH('Карта учёта'!$B$16,Расходка[[#This Row],[Наименование расходного материала]])),MAX($H$1:H49)+1,0)</f>
        <v>0</v>
      </c>
      <c r="I50" s="115">
        <f>IF(ISNUMBER(SEARCH('Карта учёта'!$B$17,Расходка[[#This Row],[Наименование расходного материала]])),MAX($I$1:I49)+1,0)</f>
        <v>0</v>
      </c>
      <c r="J50" s="115">
        <f>IF(ISNUMBER(SEARCH('Карта учёта'!$B$18,Расходка[[#This Row],[Наименование расходного материала]])),MAX($J$1:J49)+1,0)</f>
        <v>0</v>
      </c>
      <c r="K50" s="115">
        <f>IF(ISNUMBER(SEARCH('Карта учёта'!$B$19,Расходка[[#This Row],[Наименование расходного материала]])),MAX($K$1:K49)+1,0)</f>
        <v>49</v>
      </c>
      <c r="L50" s="115">
        <f>IF(ISNUMBER(SEARCH('Карта учёта'!$B$20,Расходка[[#This Row],[Наименование расходного материала]])),MAX($L$1:L49)+1,0)</f>
        <v>49</v>
      </c>
      <c r="M50" s="115">
        <f>IF(ISNUMBER(SEARCH('Карта учёта'!$B$21,Расходка[[#This Row],[Наименование расходного материала]])),MAX($M$1:M49)+1,0)</f>
        <v>49</v>
      </c>
      <c r="N50" s="115">
        <f>IF(ISNUMBER(SEARCH('Карта учёта'!$B$22,Расходка[[#This Row],[Наименование расходного материала]])),MAX($N$1:N49)+1,0)</f>
        <v>49</v>
      </c>
      <c r="O50" s="115">
        <f>IF(ISNUMBER(SEARCH('Карта учёта'!$B$23,Расходка[[#This Row],[Наименование расходного материала]])),MAX($O$1:O49)+1,0)</f>
        <v>49</v>
      </c>
      <c r="P50" s="115">
        <f>IF(ISNUMBER(SEARCH('Карта учёта'!$B$24,Расходка[[#This Row],[Наименование расходного материала]])),MAX($P$1:P49)+1,0)</f>
        <v>49</v>
      </c>
      <c r="Q50" s="115">
        <f>IF(ISNUMBER(SEARCH('Карта учёта'!$B$25,Расходка[[#This Row],[Наименование расходного материала]])),MAX($Q$1:Q49)+1,0)</f>
        <v>49</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
      </c>
      <c r="U50" s="114" t="str">
        <f>IFERROR(INDEX(Расходка[Наименование расходного материала],MATCH(Расходка[[#This Row],[№]],Поиск_расходки[Индекс4],0)),"")</f>
        <v/>
      </c>
      <c r="V50" s="114" t="str">
        <f>IFERROR(INDEX(Расходка[Наименование расходного материала],MATCH(Расходка[[#This Row],[№]],Поиск_расходки[Индекс5],0)),"")</f>
        <v/>
      </c>
      <c r="W50" s="114" t="str">
        <f>IFERROR(INDEX(Расходка[Наименование расходного материала],MATCH(Расходка[[#This Row],[№]],Поиск_расходки[Индекс6],0)),"")</f>
        <v/>
      </c>
      <c r="X50" s="114" t="str">
        <f>IFERROR(INDEX(Расходка[Наименование расходного материала],MATCH(Расходка[[#This Row],[№]],Поиск_расходки[Индекс7],0)),"")</f>
        <v>Проводник коронарный  1g, Angioline</v>
      </c>
      <c r="Y50" s="114" t="str">
        <f>IFERROR(INDEX(Расходка[Наименование расходного материала],MATCH(Расходка[[#This Row],[№]],Поиск_расходки[Индекс8],0)),"")</f>
        <v>Проводник коронарный  1g, Angioline</v>
      </c>
      <c r="Z50" s="114" t="str">
        <f>IFERROR(INDEX(Расходка[Наименование расходного материала],MATCH(Расходка[[#This Row],[№]],Поиск_расходки[Индекс9],0)),"")</f>
        <v>Проводник коронарный  1g, Angioline</v>
      </c>
      <c r="AA50" s="114" t="str">
        <f>IFERROR(INDEX(Расходка[Наименование расходного материала],MATCH(Расходка[[#This Row],[№]],Поиск_расходки[Индекс10],0)),"")</f>
        <v>Проводник коронарный  1g, Angioline</v>
      </c>
      <c r="AB50" s="114" t="str">
        <f>IFERROR(INDEX(Расходка[Наименование расходного материала],MATCH(Расходка[[#This Row],[№]],Поиск_расходки[Индекс11],0)),"")</f>
        <v>Проводник коронарный  1g, Angioline</v>
      </c>
      <c r="AC50" s="114" t="str">
        <f>IFERROR(INDEX(Расходка[Наименование расходного материала],MATCH(Расходка[[#This Row],[№]],Поиск_расходки[Индекс12],0)),"")</f>
        <v>Проводник коронарный  1g, Angioline</v>
      </c>
      <c r="AD50" s="114" t="str">
        <f>IFERROR(INDEX(Расходка[Наименование расходного материала],MATCH(Расходка[[#This Row],[№]],Поиск_расходки[Индекс13],0)),"")</f>
        <v>Проводник коронарный  1g, Angioline</v>
      </c>
      <c r="AF50" s="4" t="s">
        <v>6</v>
      </c>
      <c r="AG50" s="4" t="s">
        <v>442</v>
      </c>
    </row>
    <row r="51" spans="1:33">
      <c r="A51">
        <f>ROW(Расходка[[#This Row],[Тип расходного материала ]])-1</f>
        <v>50</v>
      </c>
      <c r="B51" t="s">
        <v>3</v>
      </c>
      <c r="C51" t="s">
        <v>508</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0</v>
      </c>
      <c r="H51" s="115">
        <f>IF(ISNUMBER(SEARCH('Карта учёта'!$B$16,Расходка[[#This Row],[Наименование расходного материала]])),MAX($H$1:H50)+1,0)</f>
        <v>0</v>
      </c>
      <c r="I51" s="115">
        <f>IF(ISNUMBER(SEARCH('Карта учёта'!$B$17,Расходка[[#This Row],[Наименование расходного материала]])),MAX($I$1:I50)+1,0)</f>
        <v>0</v>
      </c>
      <c r="J51" s="115">
        <f>IF(ISNUMBER(SEARCH('Карта учёта'!$B$18,Расходка[[#This Row],[Наименование расходного материала]])),MAX($J$1:J50)+1,0)</f>
        <v>0</v>
      </c>
      <c r="K51" s="115">
        <f>IF(ISNUMBER(SEARCH('Карта учёта'!$B$19,Расходка[[#This Row],[Наименование расходного материала]])),MAX($K$1:K50)+1,0)</f>
        <v>50</v>
      </c>
      <c r="L51" s="115">
        <f>IF(ISNUMBER(SEARCH('Карта учёта'!$B$20,Расходка[[#This Row],[Наименование расходного материала]])),MAX($L$1:L50)+1,0)</f>
        <v>50</v>
      </c>
      <c r="M51" s="115">
        <f>IF(ISNUMBER(SEARCH('Карта учёта'!$B$21,Расходка[[#This Row],[Наименование расходного материала]])),MAX($M$1:M50)+1,0)</f>
        <v>50</v>
      </c>
      <c r="N51" s="115">
        <f>IF(ISNUMBER(SEARCH('Карта учёта'!$B$22,Расходка[[#This Row],[Наименование расходного материала]])),MAX($N$1:N50)+1,0)</f>
        <v>50</v>
      </c>
      <c r="O51" s="115">
        <f>IF(ISNUMBER(SEARCH('Карта учёта'!$B$23,Расходка[[#This Row],[Наименование расходного материала]])),MAX($O$1:O50)+1,0)</f>
        <v>50</v>
      </c>
      <c r="P51" s="115">
        <f>IF(ISNUMBER(SEARCH('Карта учёта'!$B$24,Расходка[[#This Row],[Наименование расходного материала]])),MAX($P$1:P50)+1,0)</f>
        <v>50</v>
      </c>
      <c r="Q51" s="115">
        <f>IF(ISNUMBER(SEARCH('Карта учёта'!$B$25,Расходка[[#This Row],[Наименование расходного материала]])),MAX($Q$1:Q50)+1,0)</f>
        <v>50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
      </c>
      <c r="U51" s="114" t="str">
        <f>IFERROR(INDEX(Расходка[Наименование расходного материала],MATCH(Расходка[[#This Row],[№]],Поиск_расходки[Индекс4],0)),"")</f>
        <v/>
      </c>
      <c r="V51" s="114" t="str">
        <f>IFERROR(INDEX(Расходка[Наименование расходного материала],MATCH(Расходка[[#This Row],[№]],Поиск_расходки[Индекс5],0)),"")</f>
        <v/>
      </c>
      <c r="W51" s="114" t="str">
        <f>IFERROR(INDEX(Расходка[Наименование расходного материала],MATCH(Расходка[[#This Row],[№]],Поиск_расходки[Индекс6],0)),"")</f>
        <v/>
      </c>
      <c r="X51" s="114" t="str">
        <f>IFERROR(INDEX(Расходка[Наименование расходного материала],MATCH(Расходка[[#This Row],[№]],Поиск_расходки[Индекс7],0)),"")</f>
        <v>Проводник коронарный  0,8g, Angioline</v>
      </c>
      <c r="Y51" s="114" t="str">
        <f>IFERROR(INDEX(Расходка[Наименование расходного материала],MATCH(Расходка[[#This Row],[№]],Поиск_расходки[Индекс8],0)),"")</f>
        <v>Проводник коронарный  0,8g, Angioline</v>
      </c>
      <c r="Z51" s="114" t="str">
        <f>IFERROR(INDEX(Расходка[Наименование расходного материала],MATCH(Расходка[[#This Row],[№]],Поиск_расходки[Индекс9],0)),"")</f>
        <v>Проводник коронарный  0,8g, Angioline</v>
      </c>
      <c r="AA51" s="114" t="str">
        <f>IFERROR(INDEX(Расходка[Наименование расходного материала],MATCH(Расходка[[#This Row],[№]],Поиск_расходки[Индекс10],0)),"")</f>
        <v>Проводник коронарный  0,8g, Angioline</v>
      </c>
      <c r="AB51" s="114" t="str">
        <f>IFERROR(INDEX(Расходка[Наименование расходного материала],MATCH(Расходка[[#This Row],[№]],Поиск_расходки[Индекс11],0)),"")</f>
        <v>Проводник коронарный  0,8g, Angioline</v>
      </c>
      <c r="AC51" s="114" t="str">
        <f>IFERROR(INDEX(Расходка[Наименование расходного материала],MATCH(Расходка[[#This Row],[№]],Поиск_расходки[Индекс12],0)),"")</f>
        <v>Проводник коронарный  0,8g, Angioline</v>
      </c>
      <c r="AD51" s="114" t="str">
        <f>IFERROR(INDEX(Расходка[Наименование расходного материала],MATCH(Расходка[[#This Row],[№]],Поиск_расходки[Индекс13],0)),"")</f>
        <v>Проводник коронарный  0,8g, Angioline</v>
      </c>
      <c r="AF51" s="4" t="s">
        <v>6</v>
      </c>
      <c r="AG51" s="4" t="s">
        <v>443</v>
      </c>
    </row>
    <row r="52" spans="1:33">
      <c r="A52">
        <f>ROW(Расходка[[#This Row],[Тип расходного материала ]])-1</f>
        <v>51</v>
      </c>
      <c r="B52" t="s">
        <v>3</v>
      </c>
      <c r="C52" t="s">
        <v>96</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0</v>
      </c>
      <c r="H52" s="115">
        <f>IF(ISNUMBER(SEARCH('Карта учёта'!$B$16,Расходка[[#This Row],[Наименование расходного материала]])),MAX($H$1:H51)+1,0)</f>
        <v>0</v>
      </c>
      <c r="I52" s="115">
        <f>IF(ISNUMBER(SEARCH('Карта учёта'!$B$17,Расходка[[#This Row],[Наименование расходного материала]])),MAX($I$1:I51)+1,0)</f>
        <v>0</v>
      </c>
      <c r="J52" s="115">
        <f>IF(ISNUMBER(SEARCH('Карта учёта'!$B$18,Расходка[[#This Row],[Наименование расходного материала]])),MAX($J$1:J51)+1,0)</f>
        <v>0</v>
      </c>
      <c r="K52" s="115">
        <f>IF(ISNUMBER(SEARCH('Карта учёта'!$B$19,Расходка[[#This Row],[Наименование расходного материала]])),MAX($K$1:K51)+1,0)</f>
        <v>51</v>
      </c>
      <c r="L52" s="115">
        <f>IF(ISNUMBER(SEARCH('Карта учёта'!$B$20,Расходка[[#This Row],[Наименование расходного материала]])),MAX($L$1:L51)+1,0)</f>
        <v>51</v>
      </c>
      <c r="M52" s="115">
        <f>IF(ISNUMBER(SEARCH('Карта учёта'!$B$21,Расходка[[#This Row],[Наименование расходного материала]])),MAX($M$1:M51)+1,0)</f>
        <v>51</v>
      </c>
      <c r="N52" s="115">
        <f>IF(ISNUMBER(SEARCH('Карта учёта'!$B$22,Расходка[[#This Row],[Наименование расходного материала]])),MAX($N$1:N51)+1,0)</f>
        <v>51</v>
      </c>
      <c r="O52" s="115">
        <f>IF(ISNUMBER(SEARCH('Карта учёта'!$B$23,Расходка[[#This Row],[Наименование расходного материала]])),MAX($O$1:O51)+1,0)</f>
        <v>51</v>
      </c>
      <c r="P52" s="115">
        <f>IF(ISNUMBER(SEARCH('Карта учёта'!$B$24,Расходка[[#This Row],[Наименование расходного материала]])),MAX($P$1:P51)+1,0)</f>
        <v>51</v>
      </c>
      <c r="Q52" s="115">
        <f>IF(ISNUMBER(SEARCH('Карта учёта'!$B$25,Расходка[[#This Row],[Наименование расходного материала]])),MAX($Q$1:Q51)+1,0)</f>
        <v>51</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
      </c>
      <c r="U52" s="114" t="str">
        <f>IFERROR(INDEX(Расходка[Наименование расходного материала],MATCH(Расходка[[#This Row],[№]],Поиск_расходки[Индекс4],0)),"")</f>
        <v/>
      </c>
      <c r="V52" s="114" t="str">
        <f>IFERROR(INDEX(Расходка[Наименование расходного материала],MATCH(Расходка[[#This Row],[№]],Поиск_расходки[Индекс5],0)),"")</f>
        <v/>
      </c>
      <c r="W52" s="114" t="str">
        <f>IFERROR(INDEX(Расходка[Наименование расходного материала],MATCH(Расходка[[#This Row],[№]],Поиск_расходки[Индекс6],0)),"")</f>
        <v/>
      </c>
      <c r="X52" s="114" t="str">
        <f>IFERROR(INDEX(Расходка[Наименование расходного материала],MATCH(Расходка[[#This Row],[№]],Поиск_расходки[Индекс7],0)),"")</f>
        <v>Проводник коронарный  3g, Angioline</v>
      </c>
      <c r="Y52" s="114" t="str">
        <f>IFERROR(INDEX(Расходка[Наименование расходного материала],MATCH(Расходка[[#This Row],[№]],Поиск_расходки[Индекс8],0)),"")</f>
        <v>Проводник коронарный  3g, Angioline</v>
      </c>
      <c r="Z52" s="114" t="str">
        <f>IFERROR(INDEX(Расходка[Наименование расходного материала],MATCH(Расходка[[#This Row],[№]],Поиск_расходки[Индекс9],0)),"")</f>
        <v>Проводник коронарный  3g, Angioline</v>
      </c>
      <c r="AA52" s="114" t="str">
        <f>IFERROR(INDEX(Расходка[Наименование расходного материала],MATCH(Расходка[[#This Row],[№]],Поиск_расходки[Индекс10],0)),"")</f>
        <v>Проводник коронарный  3g, Angioline</v>
      </c>
      <c r="AB52" s="114" t="str">
        <f>IFERROR(INDEX(Расходка[Наименование расходного материала],MATCH(Расходка[[#This Row],[№]],Поиск_расходки[Индекс11],0)),"")</f>
        <v>Проводник коронарный  3g, Angioline</v>
      </c>
      <c r="AC52" s="114" t="str">
        <f>IFERROR(INDEX(Расходка[Наименование расходного материала],MATCH(Расходка[[#This Row],[№]],Поиск_расходки[Индекс12],0)),"")</f>
        <v>Проводник коронарный  3g, Angioline</v>
      </c>
      <c r="AD52" s="114" t="str">
        <f>IFERROR(INDEX(Расходка[Наименование расходного материала],MATCH(Расходка[[#This Row],[№]],Поиск_расходки[Индекс13],0)),"")</f>
        <v>Проводник коронарный  3g, Angioline</v>
      </c>
      <c r="AF52" s="4" t="s">
        <v>6</v>
      </c>
      <c r="AG52" s="4" t="s">
        <v>444</v>
      </c>
    </row>
    <row r="53" spans="1:33">
      <c r="A53">
        <f>ROW(Расходка[[#This Row],[Тип расходного материала ]])-1</f>
        <v>52</v>
      </c>
      <c r="B53" t="s">
        <v>3</v>
      </c>
      <c r="C53" t="s">
        <v>506</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0</v>
      </c>
      <c r="H53" s="115">
        <f>IF(ISNUMBER(SEARCH('Карта учёта'!$B$16,Расходка[[#This Row],[Наименование расходного материала]])),MAX($H$1:H52)+1,0)</f>
        <v>0</v>
      </c>
      <c r="I53" s="115">
        <f>IF(ISNUMBER(SEARCH('Карта учёта'!$B$17,Расходка[[#This Row],[Наименование расходного материала]])),MAX($I$1:I52)+1,0)</f>
        <v>0</v>
      </c>
      <c r="J53" s="115">
        <f>IF(ISNUMBER(SEARCH('Карта учёта'!$B$18,Расходка[[#This Row],[Наименование расходного материала]])),MAX($J$1:J52)+1,0)</f>
        <v>0</v>
      </c>
      <c r="K53" s="115">
        <f>IF(ISNUMBER(SEARCH('Карта учёта'!$B$19,Расходка[[#This Row],[Наименование расходного материала]])),MAX($K$1:K52)+1,0)</f>
        <v>52</v>
      </c>
      <c r="L53" s="115">
        <f>IF(ISNUMBER(SEARCH('Карта учёта'!$B$20,Расходка[[#This Row],[Наименование расходного материала]])),MAX($L$1:L52)+1,0)</f>
        <v>52</v>
      </c>
      <c r="M53" s="115">
        <f>IF(ISNUMBER(SEARCH('Карта учёта'!$B$21,Расходка[[#This Row],[Наименование расходного материала]])),MAX($M$1:M52)+1,0)</f>
        <v>52</v>
      </c>
      <c r="N53" s="115">
        <f>IF(ISNUMBER(SEARCH('Карта учёта'!$B$22,Расходка[[#This Row],[Наименование расходного материала]])),MAX($N$1:N52)+1,0)</f>
        <v>52</v>
      </c>
      <c r="O53" s="115">
        <f>IF(ISNUMBER(SEARCH('Карта учёта'!$B$23,Расходка[[#This Row],[Наименование расходного материала]])),MAX($O$1:O52)+1,0)</f>
        <v>52</v>
      </c>
      <c r="P53" s="115">
        <f>IF(ISNUMBER(SEARCH('Карта учёта'!$B$24,Расходка[[#This Row],[Наименование расходного материала]])),MAX($P$1:P52)+1,0)</f>
        <v>52</v>
      </c>
      <c r="Q53" s="115">
        <f>IF(ISNUMBER(SEARCH('Карта учёта'!$B$25,Расходка[[#This Row],[Наименование расходного материала]])),MAX($Q$1:Q52)+1,0)</f>
        <v>52</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c>
      <c r="U53" s="114" t="str">
        <f>IFERROR(INDEX(Расходка[Наименование расходного материала],MATCH(Расходка[[#This Row],[№]],Поиск_расходки[Индекс4],0)),"")</f>
        <v/>
      </c>
      <c r="V53" s="114" t="str">
        <f>IFERROR(INDEX(Расходка[Наименование расходного материала],MATCH(Расходка[[#This Row],[№]],Поиск_расходки[Индекс5],0)),"")</f>
        <v/>
      </c>
      <c r="W53" s="114" t="str">
        <f>IFERROR(INDEX(Расходка[Наименование расходного материала],MATCH(Расходка[[#This Row],[№]],Поиск_расходки[Индекс6],0)),"")</f>
        <v/>
      </c>
      <c r="X53" s="114" t="str">
        <f>IFERROR(INDEX(Расходка[Наименование расходного материала],MATCH(Расходка[[#This Row],[№]],Поиск_расходки[Индекс7],0)),"")</f>
        <v xml:space="preserve">Balancium </v>
      </c>
      <c r="Y53" s="114" t="str">
        <f>IFERROR(INDEX(Расходка[Наименование расходного материала],MATCH(Расходка[[#This Row],[№]],Поиск_расходки[Индекс8],0)),"")</f>
        <v xml:space="preserve">Balancium </v>
      </c>
      <c r="Z53" s="114" t="str">
        <f>IFERROR(INDEX(Расходка[Наименование расходного материала],MATCH(Расходка[[#This Row],[№]],Поиск_расходки[Индекс9],0)),"")</f>
        <v xml:space="preserve">Balancium </v>
      </c>
      <c r="AA53" s="114" t="str">
        <f>IFERROR(INDEX(Расходка[Наименование расходного материала],MATCH(Расходка[[#This Row],[№]],Поиск_расходки[Индекс10],0)),"")</f>
        <v xml:space="preserve">Balancium </v>
      </c>
      <c r="AB53" s="114" t="str">
        <f>IFERROR(INDEX(Расходка[Наименование расходного материала],MATCH(Расходка[[#This Row],[№]],Поиск_расходки[Индекс11],0)),"")</f>
        <v xml:space="preserve">Balancium </v>
      </c>
      <c r="AC53" s="114" t="str">
        <f>IFERROR(INDEX(Расходка[Наименование расходного материала],MATCH(Расходка[[#This Row],[№]],Поиск_расходки[Индекс12],0)),"")</f>
        <v xml:space="preserve">Balancium </v>
      </c>
      <c r="AD53" s="114" t="str">
        <f>IFERROR(INDEX(Расходка[Наименование расходного материала],MATCH(Расходка[[#This Row],[№]],Поиск_расходки[Индекс13],0)),"")</f>
        <v xml:space="preserve">Balancium </v>
      </c>
      <c r="AF53" s="4" t="s">
        <v>6</v>
      </c>
      <c r="AG53" s="4" t="s">
        <v>445</v>
      </c>
    </row>
    <row r="54" spans="1:33">
      <c r="A54">
        <f>ROW(Расходка[[#This Row],[Тип расходного материала ]])-1</f>
        <v>53</v>
      </c>
      <c r="B54" t="s">
        <v>3</v>
      </c>
      <c r="C54" t="s">
        <v>527</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0</v>
      </c>
      <c r="H54" s="115">
        <f>IF(ISNUMBER(SEARCH('Карта учёта'!$B$16,Расходка[[#This Row],[Наименование расходного материала]])),MAX($H$1:H53)+1,0)</f>
        <v>0</v>
      </c>
      <c r="I54" s="115">
        <f>IF(ISNUMBER(SEARCH('Карта учёта'!$B$17,Расходка[[#This Row],[Наименование расходного материала]])),MAX($I$1:I53)+1,0)</f>
        <v>0</v>
      </c>
      <c r="J54" s="115">
        <f>IF(ISNUMBER(SEARCH('Карта учёта'!$B$18,Расходка[[#This Row],[Наименование расходного материала]])),MAX($J$1:J53)+1,0)</f>
        <v>0</v>
      </c>
      <c r="K54" s="115">
        <f>IF(ISNUMBER(SEARCH('Карта учёта'!$B$19,Расходка[[#This Row],[Наименование расходного материала]])),MAX($K$1:K53)+1,0)</f>
        <v>53</v>
      </c>
      <c r="L54" s="115">
        <f>IF(ISNUMBER(SEARCH('Карта учёта'!$B$20,Расходка[[#This Row],[Наименование расходного материала]])),MAX($L$1:L53)+1,0)</f>
        <v>53</v>
      </c>
      <c r="M54" s="115">
        <f>IF(ISNUMBER(SEARCH('Карта учёта'!$B$21,Расходка[[#This Row],[Наименование расходного материала]])),MAX($M$1:M53)+1,0)</f>
        <v>53</v>
      </c>
      <c r="N54" s="115">
        <f>IF(ISNUMBER(SEARCH('Карта учёта'!$B$22,Расходка[[#This Row],[Наименование расходного материала]])),MAX($N$1:N53)+1,0)</f>
        <v>53</v>
      </c>
      <c r="O54" s="115">
        <f>IF(ISNUMBER(SEARCH('Карта учёта'!$B$23,Расходка[[#This Row],[Наименование расходного материала]])),MAX($O$1:O53)+1,0)</f>
        <v>53</v>
      </c>
      <c r="P54" s="115">
        <f>IF(ISNUMBER(SEARCH('Карта учёта'!$B$24,Расходка[[#This Row],[Наименование расходного материала]])),MAX($P$1:P53)+1,0)</f>
        <v>53</v>
      </c>
      <c r="Q54" s="115">
        <f>IF(ISNUMBER(SEARCH('Карта учёта'!$B$25,Расходка[[#This Row],[Наименование расходного материала]])),MAX($Q$1:Q53)+1,0)</f>
        <v>53</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
      </c>
      <c r="U54" s="114" t="str">
        <f>IFERROR(INDEX(Расходка[Наименование расходного материала],MATCH(Расходка[[#This Row],[№]],Поиск_расходки[Индекс4],0)),"")</f>
        <v/>
      </c>
      <c r="V54" s="114" t="str">
        <f>IFERROR(INDEX(Расходка[Наименование расходного материала],MATCH(Расходка[[#This Row],[№]],Поиск_расходки[Индекс5],0)),"")</f>
        <v/>
      </c>
      <c r="W54" s="114" t="str">
        <f>IFERROR(INDEX(Расходка[Наименование расходного материала],MATCH(Расходка[[#This Row],[№]],Поиск_расходки[Индекс6],0)),"")</f>
        <v/>
      </c>
      <c r="X54" s="114" t="str">
        <f>IFERROR(INDEX(Расходка[Наименование расходного материала],MATCH(Расходка[[#This Row],[№]],Поиск_расходки[Индекс7],0)),"")</f>
        <v>Shunmei 0,6</v>
      </c>
      <c r="Y54" s="114" t="str">
        <f>IFERROR(INDEX(Расходка[Наименование расходного материала],MATCH(Расходка[[#This Row],[№]],Поиск_расходки[Индекс8],0)),"")</f>
        <v>Shunmei 0,6</v>
      </c>
      <c r="Z54" s="114" t="str">
        <f>IFERROR(INDEX(Расходка[Наименование расходного материала],MATCH(Расходка[[#This Row],[№]],Поиск_расходки[Индекс9],0)),"")</f>
        <v>Shunmei 0,6</v>
      </c>
      <c r="AA54" s="114" t="str">
        <f>IFERROR(INDEX(Расходка[Наименование расходного материала],MATCH(Расходка[[#This Row],[№]],Поиск_расходки[Индекс10],0)),"")</f>
        <v>Shunmei 0,6</v>
      </c>
      <c r="AB54" s="114" t="str">
        <f>IFERROR(INDEX(Расходка[Наименование расходного материала],MATCH(Расходка[[#This Row],[№]],Поиск_расходки[Индекс11],0)),"")</f>
        <v>Shunmei 0,6</v>
      </c>
      <c r="AC54" s="114" t="str">
        <f>IFERROR(INDEX(Расходка[Наименование расходного материала],MATCH(Расходка[[#This Row],[№]],Поиск_расходки[Индекс12],0)),"")</f>
        <v>Shunmei 0,6</v>
      </c>
      <c r="AD54" s="114" t="str">
        <f>IFERROR(INDEX(Расходка[Наименование расходного материала],MATCH(Расходка[[#This Row],[№]],Поиск_расходки[Индекс13],0)),"")</f>
        <v>Shunmei 0,6</v>
      </c>
      <c r="AF54" s="4" t="s">
        <v>6</v>
      </c>
      <c r="AG54" s="4" t="s">
        <v>446</v>
      </c>
    </row>
    <row r="55" spans="1:33">
      <c r="A55">
        <f>ROW(Расходка[[#This Row],[Тип расходного материала ]])-1</f>
        <v>54</v>
      </c>
      <c r="B55" t="s">
        <v>3</v>
      </c>
      <c r="C55" t="s">
        <v>528</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0</v>
      </c>
      <c r="G55" s="115">
        <f>IF(ISNUMBER(SEARCH('Карта учёта'!$B$15,Расходка[[#This Row],[Наименование расходного материала]])),MAX($G$1:G54)+1,0)</f>
        <v>0</v>
      </c>
      <c r="H55" s="115">
        <f>IF(ISNUMBER(SEARCH('Карта учёта'!$B$16,Расходка[[#This Row],[Наименование расходного материала]])),MAX($H$1:H54)+1,0)</f>
        <v>0</v>
      </c>
      <c r="I55" s="115">
        <f>IF(ISNUMBER(SEARCH('Карта учёта'!$B$17,Расходка[[#This Row],[Наименование расходного материала]])),MAX($I$1:I54)+1,0)</f>
        <v>0</v>
      </c>
      <c r="J55" s="115">
        <f>IF(ISNUMBER(SEARCH('Карта учёта'!$B$18,Расходка[[#This Row],[Наименование расходного материала]])),MAX($J$1:J54)+1,0)</f>
        <v>0</v>
      </c>
      <c r="K55" s="115">
        <f>IF(ISNUMBER(SEARCH('Карта учёта'!$B$19,Расходка[[#This Row],[Наименование расходного материала]])),MAX($K$1:K54)+1,0)</f>
        <v>54</v>
      </c>
      <c r="L55" s="115">
        <f>IF(ISNUMBER(SEARCH('Карта учёта'!$B$20,Расходка[[#This Row],[Наименование расходного материала]])),MAX($L$1:L54)+1,0)</f>
        <v>54</v>
      </c>
      <c r="M55" s="115">
        <f>IF(ISNUMBER(SEARCH('Карта учёта'!$B$21,Расходка[[#This Row],[Наименование расходного материала]])),MAX($M$1:M54)+1,0)</f>
        <v>54</v>
      </c>
      <c r="N55" s="115">
        <f>IF(ISNUMBER(SEARCH('Карта учёта'!$B$22,Расходка[[#This Row],[Наименование расходного материала]])),MAX($N$1:N54)+1,0)</f>
        <v>54</v>
      </c>
      <c r="O55" s="115">
        <f>IF(ISNUMBER(SEARCH('Карта учёта'!$B$23,Расходка[[#This Row],[Наименование расходного материала]])),MAX($O$1:O54)+1,0)</f>
        <v>54</v>
      </c>
      <c r="P55" s="115">
        <f>IF(ISNUMBER(SEARCH('Карта учёта'!$B$24,Расходка[[#This Row],[Наименование расходного материала]])),MAX($P$1:P54)+1,0)</f>
        <v>54</v>
      </c>
      <c r="Q55" s="115">
        <f>IF(ISNUMBER(SEARCH('Карта учёта'!$B$25,Расходка[[#This Row],[Наименование расходного материала]])),MAX($Q$1:Q54)+1,0)</f>
        <v>54</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
      </c>
      <c r="U55" s="114" t="str">
        <f>IFERROR(INDEX(Расходка[Наименование расходного материала],MATCH(Расходка[[#This Row],[№]],Поиск_расходки[Индекс4],0)),"")</f>
        <v/>
      </c>
      <c r="V55" s="114" t="str">
        <f>IFERROR(INDEX(Расходка[Наименование расходного материала],MATCH(Расходка[[#This Row],[№]],Поиск_расходки[Индекс5],0)),"")</f>
        <v/>
      </c>
      <c r="W55" s="114" t="str">
        <f>IFERROR(INDEX(Расходка[Наименование расходного материала],MATCH(Расходка[[#This Row],[№]],Поиск_расходки[Индекс6],0)),"")</f>
        <v/>
      </c>
      <c r="X55" s="114" t="str">
        <f>IFERROR(INDEX(Расходка[Наименование расходного материала],MATCH(Расходка[[#This Row],[№]],Поиск_расходки[Индекс7],0)),"")</f>
        <v>Shunmei 0,7</v>
      </c>
      <c r="Y55" s="114" t="str">
        <f>IFERROR(INDEX(Расходка[Наименование расходного материала],MATCH(Расходка[[#This Row],[№]],Поиск_расходки[Индекс8],0)),"")</f>
        <v>Shunmei 0,7</v>
      </c>
      <c r="Z55" s="114" t="str">
        <f>IFERROR(INDEX(Расходка[Наименование расходного материала],MATCH(Расходка[[#This Row],[№]],Поиск_расходки[Индекс9],0)),"")</f>
        <v>Shunmei 0,7</v>
      </c>
      <c r="AA55" s="114" t="str">
        <f>IFERROR(INDEX(Расходка[Наименование расходного материала],MATCH(Расходка[[#This Row],[№]],Поиск_расходки[Индекс10],0)),"")</f>
        <v>Shunmei 0,7</v>
      </c>
      <c r="AB55" s="114" t="str">
        <f>IFERROR(INDEX(Расходка[Наименование расходного материала],MATCH(Расходка[[#This Row],[№]],Поиск_расходки[Индекс11],0)),"")</f>
        <v>Shunmei 0,7</v>
      </c>
      <c r="AC55" s="114" t="str">
        <f>IFERROR(INDEX(Расходка[Наименование расходного материала],MATCH(Расходка[[#This Row],[№]],Поиск_расходки[Индекс12],0)),"")</f>
        <v>Shunmei 0,7</v>
      </c>
      <c r="AD55" s="114" t="str">
        <f>IFERROR(INDEX(Расходка[Наименование расходного материала],MATCH(Расходка[[#This Row],[№]],Поиск_расходки[Индекс13],0)),"")</f>
        <v>Shunmei 0,7</v>
      </c>
      <c r="AF55" s="4" t="s">
        <v>6</v>
      </c>
      <c r="AG55" s="4" t="s">
        <v>447</v>
      </c>
    </row>
    <row r="56" spans="1:33">
      <c r="A56">
        <f>ROW(Расходка[[#This Row],[Тип расходного материала ]])-1</f>
        <v>55</v>
      </c>
      <c r="B56" t="s">
        <v>3</v>
      </c>
      <c r="C56" t="s">
        <v>519</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1</v>
      </c>
      <c r="H56" s="115">
        <f>IF(ISNUMBER(SEARCH('Карта учёта'!$B$16,Расходка[[#This Row],[Наименование расходного материала]])),MAX($H$1:H55)+1,0)</f>
        <v>0</v>
      </c>
      <c r="I56" s="115">
        <f>IF(ISNUMBER(SEARCH('Карта учёта'!$B$17,Расходка[[#This Row],[Наименование расходного материала]])),MAX($I$1:I55)+1,0)</f>
        <v>0</v>
      </c>
      <c r="J56" s="115">
        <f>IF(ISNUMBER(SEARCH('Карта учёта'!$B$18,Расходка[[#This Row],[Наименование расходного материала]])),MAX($J$1:J55)+1,0)</f>
        <v>0</v>
      </c>
      <c r="K56" s="115">
        <f>IF(ISNUMBER(SEARCH('Карта учёта'!$B$19,Расходка[[#This Row],[Наименование расходного материала]])),MAX($K$1:K55)+1,0)</f>
        <v>55</v>
      </c>
      <c r="L56" s="115">
        <f>IF(ISNUMBER(SEARCH('Карта учёта'!$B$20,Расходка[[#This Row],[Наименование расходного материала]])),MAX($L$1:L55)+1,0)</f>
        <v>55</v>
      </c>
      <c r="M56" s="115">
        <f>IF(ISNUMBER(SEARCH('Карта учёта'!$B$21,Расходка[[#This Row],[Наименование расходного материала]])),MAX($M$1:M55)+1,0)</f>
        <v>55</v>
      </c>
      <c r="N56" s="115">
        <f>IF(ISNUMBER(SEARCH('Карта учёта'!$B$22,Расходка[[#This Row],[Наименование расходного материала]])),MAX($N$1:N55)+1,0)</f>
        <v>55</v>
      </c>
      <c r="O56" s="115">
        <f>IF(ISNUMBER(SEARCH('Карта учёта'!$B$23,Расходка[[#This Row],[Наименование расходного материала]])),MAX($O$1:O55)+1,0)</f>
        <v>55</v>
      </c>
      <c r="P56" s="115">
        <f>IF(ISNUMBER(SEARCH('Карта учёта'!$B$24,Расходка[[#This Row],[Наименование расходного материала]])),MAX($P$1:P55)+1,0)</f>
        <v>55</v>
      </c>
      <c r="Q56" s="115">
        <f>IF(ISNUMBER(SEARCH('Карта учёта'!$B$25,Расходка[[#This Row],[Наименование расходного материала]])),MAX($Q$1:Q55)+1,0)</f>
        <v>55</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
      </c>
      <c r="U56" s="114" t="str">
        <f>IFERROR(INDEX(Расходка[Наименование расходного материала],MATCH(Расходка[[#This Row],[№]],Поиск_расходки[Индекс4],0)),"")</f>
        <v/>
      </c>
      <c r="V56" s="114" t="str">
        <f>IFERROR(INDEX(Расходка[Наименование расходного материала],MATCH(Расходка[[#This Row],[№]],Поиск_расходки[Индекс5],0)),"")</f>
        <v/>
      </c>
      <c r="W56" s="114" t="str">
        <f>IFERROR(INDEX(Расходка[Наименование расходного материала],MATCH(Расходка[[#This Row],[№]],Поиск_расходки[Индекс6],0)),"")</f>
        <v/>
      </c>
      <c r="X56" s="114" t="str">
        <f>IFERROR(INDEX(Расходка[Наименование расходного материала],MATCH(Расходка[[#This Row],[№]],Поиск_расходки[Индекс7],0)),"")</f>
        <v>Pilot 150, 190 cm</v>
      </c>
      <c r="Y56" s="114" t="str">
        <f>IFERROR(INDEX(Расходка[Наименование расходного материала],MATCH(Расходка[[#This Row],[№]],Поиск_расходки[Индекс8],0)),"")</f>
        <v>Pilot 150, 190 cm</v>
      </c>
      <c r="Z56" s="114" t="str">
        <f>IFERROR(INDEX(Расходка[Наименование расходного материала],MATCH(Расходка[[#This Row],[№]],Поиск_расходки[Индекс9],0)),"")</f>
        <v>Pilot 150, 190 cm</v>
      </c>
      <c r="AA56" s="114" t="str">
        <f>IFERROR(INDEX(Расходка[Наименование расходного материала],MATCH(Расходка[[#This Row],[№]],Поиск_расходки[Индекс10],0)),"")</f>
        <v>Pilot 150, 190 cm</v>
      </c>
      <c r="AB56" s="114" t="str">
        <f>IFERROR(INDEX(Расходка[Наименование расходного материала],MATCH(Расходка[[#This Row],[№]],Поиск_расходки[Индекс11],0)),"")</f>
        <v>Pilot 150, 190 cm</v>
      </c>
      <c r="AC56" s="114" t="str">
        <f>IFERROR(INDEX(Расходка[Наименование расходного материала],MATCH(Расходка[[#This Row],[№]],Поиск_расходки[Индекс12],0)),"")</f>
        <v>Pilot 150, 190 cm</v>
      </c>
      <c r="AD56" s="114" t="str">
        <f>IFERROR(INDEX(Расходка[Наименование расходного материала],MATCH(Расходка[[#This Row],[№]],Поиск_расходки[Индекс13],0)),"")</f>
        <v>Pilot 150, 190 cm</v>
      </c>
      <c r="AF56" s="4" t="s">
        <v>6</v>
      </c>
      <c r="AG56" s="4" t="s">
        <v>448</v>
      </c>
    </row>
    <row r="57" spans="1:33">
      <c r="A57">
        <f>ROW(Расходка[[#This Row],[Тип расходного материала ]])-1</f>
        <v>56</v>
      </c>
      <c r="B57" t="s">
        <v>3</v>
      </c>
      <c r="C57" t="s">
        <v>520</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0</v>
      </c>
      <c r="H57" s="115">
        <f>IF(ISNUMBER(SEARCH('Карта учёта'!$B$16,Расходка[[#This Row],[Наименование расходного материала]])),MAX($H$1:H56)+1,0)</f>
        <v>0</v>
      </c>
      <c r="I57" s="115">
        <f>IF(ISNUMBER(SEARCH('Карта учёта'!$B$17,Расходка[[#This Row],[Наименование расходного материала]])),MAX($I$1:I56)+1,0)</f>
        <v>0</v>
      </c>
      <c r="J57" s="115">
        <f>IF(ISNUMBER(SEARCH('Карта учёта'!$B$18,Расходка[[#This Row],[Наименование расходного материала]])),MAX($J$1:J56)+1,0)</f>
        <v>0</v>
      </c>
      <c r="K57" s="115">
        <f>IF(ISNUMBER(SEARCH('Карта учёта'!$B$19,Расходка[[#This Row],[Наименование расходного материала]])),MAX($K$1:K56)+1,0)</f>
        <v>56</v>
      </c>
      <c r="L57" s="115">
        <f>IF(ISNUMBER(SEARCH('Карта учёта'!$B$20,Расходка[[#This Row],[Наименование расходного материала]])),MAX($L$1:L56)+1,0)</f>
        <v>56</v>
      </c>
      <c r="M57" s="115">
        <f>IF(ISNUMBER(SEARCH('Карта учёта'!$B$21,Расходка[[#This Row],[Наименование расходного материала]])),MAX($M$1:M56)+1,0)</f>
        <v>56</v>
      </c>
      <c r="N57" s="115">
        <f>IF(ISNUMBER(SEARCH('Карта учёта'!$B$22,Расходка[[#This Row],[Наименование расходного материала]])),MAX($N$1:N56)+1,0)</f>
        <v>56</v>
      </c>
      <c r="O57" s="115">
        <f>IF(ISNUMBER(SEARCH('Карта учёта'!$B$23,Расходка[[#This Row],[Наименование расходного материала]])),MAX($O$1:O56)+1,0)</f>
        <v>56</v>
      </c>
      <c r="P57" s="115">
        <f>IF(ISNUMBER(SEARCH('Карта учёта'!$B$24,Расходка[[#This Row],[Наименование расходного материала]])),MAX($P$1:P56)+1,0)</f>
        <v>56</v>
      </c>
      <c r="Q57" s="115">
        <f>IF(ISNUMBER(SEARCH('Карта учёта'!$B$25,Расходка[[#This Row],[Наименование расходного материала]])),MAX($Q$1:Q56)+1,0)</f>
        <v>56</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
      </c>
      <c r="U57" s="114" t="str">
        <f>IFERROR(INDEX(Расходка[Наименование расходного материала],MATCH(Расходка[[#This Row],[№]],Поиск_расходки[Индекс4],0)),"")</f>
        <v/>
      </c>
      <c r="V57" s="114" t="str">
        <f>IFERROR(INDEX(Расходка[Наименование расходного материала],MATCH(Расходка[[#This Row],[№]],Поиск_расходки[Индекс5],0)),"")</f>
        <v/>
      </c>
      <c r="W57" s="114" t="str">
        <f>IFERROR(INDEX(Расходка[Наименование расходного материала],MATCH(Расходка[[#This Row],[№]],Поиск_расходки[Индекс6],0)),"")</f>
        <v/>
      </c>
      <c r="X57" s="114" t="str">
        <f>IFERROR(INDEX(Расходка[Наименование расходного материала],MATCH(Расходка[[#This Row],[№]],Поиск_расходки[Индекс7],0)),"")</f>
        <v>Pilot 150, 300 cm</v>
      </c>
      <c r="Y57" s="114" t="str">
        <f>IFERROR(INDEX(Расходка[Наименование расходного материала],MATCH(Расходка[[#This Row],[№]],Поиск_расходки[Индекс8],0)),"")</f>
        <v>Pilot 150, 300 cm</v>
      </c>
      <c r="Z57" s="114" t="str">
        <f>IFERROR(INDEX(Расходка[Наименование расходного материала],MATCH(Расходка[[#This Row],[№]],Поиск_расходки[Индекс9],0)),"")</f>
        <v>Pilot 150, 300 cm</v>
      </c>
      <c r="AA57" s="114" t="str">
        <f>IFERROR(INDEX(Расходка[Наименование расходного материала],MATCH(Расходка[[#This Row],[№]],Поиск_расходки[Индекс10],0)),"")</f>
        <v>Pilot 150, 300 cm</v>
      </c>
      <c r="AB57" s="114" t="str">
        <f>IFERROR(INDEX(Расходка[Наименование расходного материала],MATCH(Расходка[[#This Row],[№]],Поиск_расходки[Индекс11],0)),"")</f>
        <v>Pilot 150, 300 cm</v>
      </c>
      <c r="AC57" s="114" t="str">
        <f>IFERROR(INDEX(Расходка[Наименование расходного материала],MATCH(Расходка[[#This Row],[№]],Поиск_расходки[Индекс12],0)),"")</f>
        <v>Pilot 150, 300 cm</v>
      </c>
      <c r="AD57" s="114" t="str">
        <f>IFERROR(INDEX(Расходка[Наименование расходного материала],MATCH(Расходка[[#This Row],[№]],Поиск_расходки[Индекс13],0)),"")</f>
        <v>Pilot 150, 300 cm</v>
      </c>
      <c r="AF57" s="4" t="s">
        <v>6</v>
      </c>
      <c r="AG57" s="4" t="s">
        <v>449</v>
      </c>
    </row>
    <row r="58" spans="1:33">
      <c r="A58">
        <f>ROW(Расходка[[#This Row],[Тип расходного материала ]])-1</f>
        <v>57</v>
      </c>
      <c r="B58" t="s">
        <v>6</v>
      </c>
      <c r="C58" s="1" t="s">
        <v>278</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0</v>
      </c>
      <c r="H58" s="115">
        <f>IF(ISNUMBER(SEARCH('Карта учёта'!$B$16,Расходка[[#This Row],[Наименование расходного материала]])),MAX($H$1:H57)+1,0)</f>
        <v>0</v>
      </c>
      <c r="I58" s="115">
        <f>IF(ISNUMBER(SEARCH('Карта учёта'!$B$17,Расходка[[#This Row],[Наименование расходного материала]])),MAX($I$1:I57)+1,0)</f>
        <v>0</v>
      </c>
      <c r="J58" s="115">
        <f>IF(ISNUMBER(SEARCH('Карта учёта'!$B$18,Расходка[[#This Row],[Наименование расходного материала]])),MAX($J$1:J57)+1,0)</f>
        <v>0</v>
      </c>
      <c r="K58" s="115">
        <f>IF(ISNUMBER(SEARCH('Карта учёта'!$B$19,Расходка[[#This Row],[Наименование расходного материала]])),MAX($K$1:K57)+1,0)</f>
        <v>57</v>
      </c>
      <c r="L58" s="115">
        <f>IF(ISNUMBER(SEARCH('Карта учёта'!$B$20,Расходка[[#This Row],[Наименование расходного материала]])),MAX($L$1:L57)+1,0)</f>
        <v>57</v>
      </c>
      <c r="M58" s="115">
        <f>IF(ISNUMBER(SEARCH('Карта учёта'!$B$21,Расходка[[#This Row],[Наименование расходного материала]])),MAX($M$1:M57)+1,0)</f>
        <v>57</v>
      </c>
      <c r="N58" s="115">
        <f>IF(ISNUMBER(SEARCH('Карта учёта'!$B$22,Расходка[[#This Row],[Наименование расходного материала]])),MAX($N$1:N57)+1,0)</f>
        <v>57</v>
      </c>
      <c r="O58" s="115">
        <f>IF(ISNUMBER(SEARCH('Карта учёта'!$B$23,Расходка[[#This Row],[Наименование расходного материала]])),MAX($O$1:O57)+1,0)</f>
        <v>57</v>
      </c>
      <c r="P58" s="115">
        <f>IF(ISNUMBER(SEARCH('Карта учёта'!$B$24,Расходка[[#This Row],[Наименование расходного материала]])),MAX($P$1:P57)+1,0)</f>
        <v>57</v>
      </c>
      <c r="Q58" s="115">
        <f>IF(ISNUMBER(SEARCH('Карта учёта'!$B$25,Расходка[[#This Row],[Наименование расходного материала]])),MAX($Q$1:Q57)+1,0)</f>
        <v>57</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
      </c>
      <c r="U58" s="114" t="str">
        <f>IFERROR(INDEX(Расходка[Наименование расходного материала],MATCH(Расходка[[#This Row],[№]],Поиск_расходки[Индекс4],0)),"")</f>
        <v/>
      </c>
      <c r="V58" s="114" t="str">
        <f>IFERROR(INDEX(Расходка[Наименование расходного материала],MATCH(Расходка[[#This Row],[№]],Поиск_расходки[Индекс5],0)),"")</f>
        <v/>
      </c>
      <c r="W58" s="114" t="str">
        <f>IFERROR(INDEX(Расходка[Наименование расходного материала],MATCH(Расходка[[#This Row],[№]],Поиск_расходки[Индекс6],0)),"")</f>
        <v/>
      </c>
      <c r="X58" s="114" t="str">
        <f>IFERROR(INDEX(Расходка[Наименование расходного материала],MATCH(Расходка[[#This Row],[№]],Поиск_расходки[Индекс7],0)),"")</f>
        <v>BMS, Integtity</v>
      </c>
      <c r="Y58" s="114" t="str">
        <f>IFERROR(INDEX(Расходка[Наименование расходного материала],MATCH(Расходка[[#This Row],[№]],Поиск_расходки[Индекс8],0)),"")</f>
        <v>BMS, Integtity</v>
      </c>
      <c r="Z58" s="114" t="str">
        <f>IFERROR(INDEX(Расходка[Наименование расходного материала],MATCH(Расходка[[#This Row],[№]],Поиск_расходки[Индекс9],0)),"")</f>
        <v>BMS, Integtity</v>
      </c>
      <c r="AA58" s="114" t="str">
        <f>IFERROR(INDEX(Расходка[Наименование расходного материала],MATCH(Расходка[[#This Row],[№]],Поиск_расходки[Индекс10],0)),"")</f>
        <v>BMS, Integtity</v>
      </c>
      <c r="AB58" s="114" t="str">
        <f>IFERROR(INDEX(Расходка[Наименование расходного материала],MATCH(Расходка[[#This Row],[№]],Поиск_расходки[Индекс11],0)),"")</f>
        <v>BMS, Integtity</v>
      </c>
      <c r="AC58" s="114" t="str">
        <f>IFERROR(INDEX(Расходка[Наименование расходного материала],MATCH(Расходка[[#This Row],[№]],Поиск_расходки[Индекс12],0)),"")</f>
        <v>BMS, Integtity</v>
      </c>
      <c r="AD58" s="114" t="str">
        <f>IFERROR(INDEX(Расходка[Наименование расходного материала],MATCH(Расходка[[#This Row],[№]],Поиск_расходки[Индекс13],0)),"")</f>
        <v>BMS, Integtity</v>
      </c>
      <c r="AF58" s="4" t="s">
        <v>6</v>
      </c>
      <c r="AG58" s="4" t="s">
        <v>450</v>
      </c>
    </row>
    <row r="59" spans="1:33">
      <c r="A59">
        <f>ROW(Расходка[[#This Row],[Тип расходного материала ]])-1</f>
        <v>58</v>
      </c>
      <c r="B59" t="s">
        <v>6</v>
      </c>
      <c r="C59" s="156" t="s">
        <v>344</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0</v>
      </c>
      <c r="H59" s="115">
        <f>IF(ISNUMBER(SEARCH('Карта учёта'!$B$16,Расходка[[#This Row],[Наименование расходного материала]])),MAX($H$1:H58)+1,0)</f>
        <v>0</v>
      </c>
      <c r="I59" s="115">
        <f>IF(ISNUMBER(SEARCH('Карта учёта'!$B$17,Расходка[[#This Row],[Наименование расходного материала]])),MAX($I$1:I58)+1,0)</f>
        <v>0</v>
      </c>
      <c r="J59" s="115">
        <f>IF(ISNUMBER(SEARCH('Карта учёта'!$B$18,Расходка[[#This Row],[Наименование расходного материала]])),MAX($J$1:J58)+1,0)</f>
        <v>0</v>
      </c>
      <c r="K59" s="115">
        <f>IF(ISNUMBER(SEARCH('Карта учёта'!$B$19,Расходка[[#This Row],[Наименование расходного материала]])),MAX($K$1:K58)+1,0)</f>
        <v>58</v>
      </c>
      <c r="L59" s="115">
        <f>IF(ISNUMBER(SEARCH('Карта учёта'!$B$20,Расходка[[#This Row],[Наименование расходного материала]])),MAX($L$1:L58)+1,0)</f>
        <v>58</v>
      </c>
      <c r="M59" s="115">
        <f>IF(ISNUMBER(SEARCH('Карта учёта'!$B$21,Расходка[[#This Row],[Наименование расходного материала]])),MAX($M$1:M58)+1,0)</f>
        <v>58</v>
      </c>
      <c r="N59" s="115">
        <f>IF(ISNUMBER(SEARCH('Карта учёта'!$B$22,Расходка[[#This Row],[Наименование расходного материала]])),MAX($N$1:N58)+1,0)</f>
        <v>58</v>
      </c>
      <c r="O59" s="115">
        <f>IF(ISNUMBER(SEARCH('Карта учёта'!$B$23,Расходка[[#This Row],[Наименование расходного материала]])),MAX($O$1:O58)+1,0)</f>
        <v>58</v>
      </c>
      <c r="P59" s="115">
        <f>IF(ISNUMBER(SEARCH('Карта учёта'!$B$24,Расходка[[#This Row],[Наименование расходного материала]])),MAX($P$1:P58)+1,0)</f>
        <v>58</v>
      </c>
      <c r="Q59" s="115">
        <f>IF(ISNUMBER(SEARCH('Карта учёта'!$B$25,Расходка[[#This Row],[Наименование расходного материала]])),MAX($Q$1:Q58)+1,0)</f>
        <v>58</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
      </c>
      <c r="U59" s="114" t="str">
        <f>IFERROR(INDEX(Расходка[Наименование расходного материала],MATCH(Расходка[[#This Row],[№]],Поиск_расходки[Индекс4],0)),"")</f>
        <v/>
      </c>
      <c r="V59" s="114" t="str">
        <f>IFERROR(INDEX(Расходка[Наименование расходного материала],MATCH(Расходка[[#This Row],[№]],Поиск_расходки[Индекс5],0)),"")</f>
        <v/>
      </c>
      <c r="W59" s="114" t="str">
        <f>IFERROR(INDEX(Расходка[Наименование расходного материала],MATCH(Расходка[[#This Row],[№]],Поиск_расходки[Индекс6],0)),"")</f>
        <v/>
      </c>
      <c r="X59" s="114" t="str">
        <f>IFERROR(INDEX(Расходка[Наименование расходного материала],MATCH(Расходка[[#This Row],[№]],Поиск_расходки[Индекс7],0)),"")</f>
        <v>DES, Calipso</v>
      </c>
      <c r="Y59" s="114" t="str">
        <f>IFERROR(INDEX(Расходка[Наименование расходного материала],MATCH(Расходка[[#This Row],[№]],Поиск_расходки[Индекс8],0)),"")</f>
        <v>DES, Calipso</v>
      </c>
      <c r="Z59" s="114" t="str">
        <f>IFERROR(INDEX(Расходка[Наименование расходного материала],MATCH(Расходка[[#This Row],[№]],Поиск_расходки[Индекс9],0)),"")</f>
        <v>DES, Calipso</v>
      </c>
      <c r="AA59" s="114" t="str">
        <f>IFERROR(INDEX(Расходка[Наименование расходного материала],MATCH(Расходка[[#This Row],[№]],Поиск_расходки[Индекс10],0)),"")</f>
        <v>DES, Calipso</v>
      </c>
      <c r="AB59" s="114" t="str">
        <f>IFERROR(INDEX(Расходка[Наименование расходного материала],MATCH(Расходка[[#This Row],[№]],Поиск_расходки[Индекс11],0)),"")</f>
        <v>DES, Calipso</v>
      </c>
      <c r="AC59" s="114" t="str">
        <f>IFERROR(INDEX(Расходка[Наименование расходного материала],MATCH(Расходка[[#This Row],[№]],Поиск_расходки[Индекс12],0)),"")</f>
        <v>DES, Calipso</v>
      </c>
      <c r="AD59" s="114" t="str">
        <f>IFERROR(INDEX(Расходка[Наименование расходного материала],MATCH(Расходка[[#This Row],[№]],Поиск_расходки[Индекс13],0)),"")</f>
        <v>DES, Calipso</v>
      </c>
      <c r="AF59" s="4" t="s">
        <v>6</v>
      </c>
      <c r="AG59" s="4" t="s">
        <v>451</v>
      </c>
    </row>
    <row r="60" spans="1:33">
      <c r="A60">
        <f>ROW(Расходка[[#This Row],[Тип расходного материала ]])-1</f>
        <v>59</v>
      </c>
      <c r="B60" t="s">
        <v>6</v>
      </c>
      <c r="C60" s="212" t="s">
        <v>525</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0</v>
      </c>
      <c r="H60" s="115">
        <f>IF(ISNUMBER(SEARCH('Карта учёта'!$B$16,Расходка[[#This Row],[Наименование расходного материала]])),MAX($H$1:H59)+1,0)</f>
        <v>0</v>
      </c>
      <c r="I60" s="115">
        <f>IF(ISNUMBER(SEARCH('Карта учёта'!$B$17,Расходка[[#This Row],[Наименование расходного материала]])),MAX($I$1:I59)+1,0)</f>
        <v>0</v>
      </c>
      <c r="J60" s="115">
        <f>IF(ISNUMBER(SEARCH('Карта учёта'!$B$18,Расходка[[#This Row],[Наименование расходного материала]])),MAX($J$1:J59)+1,0)</f>
        <v>0</v>
      </c>
      <c r="K60" s="115">
        <f>IF(ISNUMBER(SEARCH('Карта учёта'!$B$19,Расходка[[#This Row],[Наименование расходного материала]])),MAX($K$1:K59)+1,0)</f>
        <v>59</v>
      </c>
      <c r="L60" s="115">
        <f>IF(ISNUMBER(SEARCH('Карта учёта'!$B$20,Расходка[[#This Row],[Наименование расходного материала]])),MAX($L$1:L59)+1,0)</f>
        <v>59</v>
      </c>
      <c r="M60" s="115">
        <f>IF(ISNUMBER(SEARCH('Карта учёта'!$B$21,Расходка[[#This Row],[Наименование расходного материала]])),MAX($M$1:M59)+1,0)</f>
        <v>59</v>
      </c>
      <c r="N60" s="115">
        <f>IF(ISNUMBER(SEARCH('Карта учёта'!$B$22,Расходка[[#This Row],[Наименование расходного материала]])),MAX($N$1:N59)+1,0)</f>
        <v>59</v>
      </c>
      <c r="O60" s="115">
        <f>IF(ISNUMBER(SEARCH('Карта учёта'!$B$23,Расходка[[#This Row],[Наименование расходного материала]])),MAX($O$1:O59)+1,0)</f>
        <v>59</v>
      </c>
      <c r="P60" s="115">
        <f>IF(ISNUMBER(SEARCH('Карта учёта'!$B$24,Расходка[[#This Row],[Наименование расходного материала]])),MAX($P$1:P59)+1,0)</f>
        <v>59</v>
      </c>
      <c r="Q60" s="115">
        <f>IF(ISNUMBER(SEARCH('Карта учёта'!$B$25,Расходка[[#This Row],[Наименование расходного материала]])),MAX($Q$1:Q59)+1,0)</f>
        <v>59</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
      </c>
      <c r="U60" s="114" t="str">
        <f>IFERROR(INDEX(Расходка[Наименование расходного материала],MATCH(Расходка[[#This Row],[№]],Поиск_расходки[Индекс4],0)),"")</f>
        <v/>
      </c>
      <c r="V60" s="114" t="str">
        <f>IFERROR(INDEX(Расходка[Наименование расходного материала],MATCH(Расходка[[#This Row],[№]],Поиск_расходки[Индекс5],0)),"")</f>
        <v/>
      </c>
      <c r="W60" s="114" t="str">
        <f>IFERROR(INDEX(Расходка[Наименование расходного материала],MATCH(Расходка[[#This Row],[№]],Поиск_расходки[Индекс6],0)),"")</f>
        <v/>
      </c>
      <c r="X60" s="114" t="str">
        <f>IFERROR(INDEX(Расходка[Наименование расходного материала],MATCH(Расходка[[#This Row],[№]],Поиск_расходки[Индекс7],0)),"")</f>
        <v>DES, Metafor</v>
      </c>
      <c r="Y60" s="114" t="str">
        <f>IFERROR(INDEX(Расходка[Наименование расходного материала],MATCH(Расходка[[#This Row],[№]],Поиск_расходки[Индекс8],0)),"")</f>
        <v>DES, Metafor</v>
      </c>
      <c r="Z60" s="114" t="str">
        <f>IFERROR(INDEX(Расходка[Наименование расходного материала],MATCH(Расходка[[#This Row],[№]],Поиск_расходки[Индекс9],0)),"")</f>
        <v>DES, Metafor</v>
      </c>
      <c r="AA60" s="114" t="str">
        <f>IFERROR(INDEX(Расходка[Наименование расходного материала],MATCH(Расходка[[#This Row],[№]],Поиск_расходки[Индекс10],0)),"")</f>
        <v>DES, Metafor</v>
      </c>
      <c r="AB60" s="114" t="str">
        <f>IFERROR(INDEX(Расходка[Наименование расходного материала],MATCH(Расходка[[#This Row],[№]],Поиск_расходки[Индекс11],0)),"")</f>
        <v>DES, Metafor</v>
      </c>
      <c r="AC60" s="114" t="str">
        <f>IFERROR(INDEX(Расходка[Наименование расходного материала],MATCH(Расходка[[#This Row],[№]],Поиск_расходки[Индекс12],0)),"")</f>
        <v>DES, Metafor</v>
      </c>
      <c r="AD60" s="114" t="str">
        <f>IFERROR(INDEX(Расходка[Наименование расходного материала],MATCH(Расходка[[#This Row],[№]],Поиск_расходки[Индекс13],0)),"")</f>
        <v>DES, Metafor</v>
      </c>
      <c r="AF60" s="4" t="s">
        <v>6</v>
      </c>
      <c r="AG60" s="4" t="s">
        <v>452</v>
      </c>
    </row>
    <row r="61" spans="1:33">
      <c r="A61">
        <f>ROW(Расходка[[#This Row],[Тип расходного материала ]])-1</f>
        <v>60</v>
      </c>
      <c r="B61" t="s">
        <v>6</v>
      </c>
      <c r="C61" s="156" t="s">
        <v>343</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0</v>
      </c>
      <c r="H61" s="115">
        <f>IF(ISNUMBER(SEARCH('Карта учёта'!$B$16,Расходка[[#This Row],[Наименование расходного материала]])),MAX($H$1:H60)+1,0)</f>
        <v>0</v>
      </c>
      <c r="I61" s="115">
        <f>IF(ISNUMBER(SEARCH('Карта учёта'!$B$17,Расходка[[#This Row],[Наименование расходного материала]])),MAX($I$1:I60)+1,0)</f>
        <v>0</v>
      </c>
      <c r="J61" s="115">
        <f>IF(ISNUMBER(SEARCH('Карта учёта'!$B$18,Расходка[[#This Row],[Наименование расходного материала]])),MAX($J$1:J60)+1,0)</f>
        <v>0</v>
      </c>
      <c r="K61" s="115">
        <f>IF(ISNUMBER(SEARCH('Карта учёта'!$B$19,Расходка[[#This Row],[Наименование расходного материала]])),MAX($K$1:K60)+1,0)</f>
        <v>60</v>
      </c>
      <c r="L61" s="115">
        <f>IF(ISNUMBER(SEARCH('Карта учёта'!$B$20,Расходка[[#This Row],[Наименование расходного материала]])),MAX($L$1:L60)+1,0)</f>
        <v>60</v>
      </c>
      <c r="M61" s="115">
        <f>IF(ISNUMBER(SEARCH('Карта учёта'!$B$21,Расходка[[#This Row],[Наименование расходного материала]])),MAX($M$1:M60)+1,0)</f>
        <v>60</v>
      </c>
      <c r="N61" s="115">
        <f>IF(ISNUMBER(SEARCH('Карта учёта'!$B$22,Расходка[[#This Row],[Наименование расходного материала]])),MAX($N$1:N60)+1,0)</f>
        <v>60</v>
      </c>
      <c r="O61" s="115">
        <f>IF(ISNUMBER(SEARCH('Карта учёта'!$B$23,Расходка[[#This Row],[Наименование расходного материала]])),MAX($O$1:O60)+1,0)</f>
        <v>60</v>
      </c>
      <c r="P61" s="115">
        <f>IF(ISNUMBER(SEARCH('Карта учёта'!$B$24,Расходка[[#This Row],[Наименование расходного материала]])),MAX($P$1:P60)+1,0)</f>
        <v>60</v>
      </c>
      <c r="Q61" s="115">
        <f>IF(ISNUMBER(SEARCH('Карта учёта'!$B$25,Расходка[[#This Row],[Наименование расходного материала]])),MAX($Q$1:Q60)+1,0)</f>
        <v>60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
      </c>
      <c r="U61" s="114" t="str">
        <f>IFERROR(INDEX(Расходка[Наименование расходного материала],MATCH(Расходка[[#This Row],[№]],Поиск_расходки[Индекс4],0)),"")</f>
        <v/>
      </c>
      <c r="V61" s="114" t="str">
        <f>IFERROR(INDEX(Расходка[Наименование расходного материала],MATCH(Расходка[[#This Row],[№]],Поиск_расходки[Индекс5],0)),"")</f>
        <v/>
      </c>
      <c r="W61" s="114" t="str">
        <f>IFERROR(INDEX(Расходка[Наименование расходного материала],MATCH(Расходка[[#This Row],[№]],Поиск_расходки[Индекс6],0)),"")</f>
        <v/>
      </c>
      <c r="X61" s="114" t="str">
        <f>IFERROR(INDEX(Расходка[Наименование расходного материала],MATCH(Расходка[[#This Row],[№]],Поиск_расходки[Индекс7],0)),"")</f>
        <v>DES, NanoMed</v>
      </c>
      <c r="Y61" s="114" t="str">
        <f>IFERROR(INDEX(Расходка[Наименование расходного материала],MATCH(Расходка[[#This Row],[№]],Поиск_расходки[Индекс8],0)),"")</f>
        <v>DES, NanoMed</v>
      </c>
      <c r="Z61" s="114" t="str">
        <f>IFERROR(INDEX(Расходка[Наименование расходного материала],MATCH(Расходка[[#This Row],[№]],Поиск_расходки[Индекс9],0)),"")</f>
        <v>DES, NanoMed</v>
      </c>
      <c r="AA61" s="114" t="str">
        <f>IFERROR(INDEX(Расходка[Наименование расходного материала],MATCH(Расходка[[#This Row],[№]],Поиск_расходки[Индекс10],0)),"")</f>
        <v>DES, NanoMed</v>
      </c>
      <c r="AB61" s="114" t="str">
        <f>IFERROR(INDEX(Расходка[Наименование расходного материала],MATCH(Расходка[[#This Row],[№]],Поиск_расходки[Индекс11],0)),"")</f>
        <v>DES, NanoMed</v>
      </c>
      <c r="AC61" s="114" t="str">
        <f>IFERROR(INDEX(Расходка[Наименование расходного материала],MATCH(Расходка[[#This Row],[№]],Поиск_расходки[Индекс12],0)),"")</f>
        <v>DES, NanoMed</v>
      </c>
      <c r="AD61" s="114" t="str">
        <f>IFERROR(INDEX(Расходка[Наименование расходного материала],MATCH(Расходка[[#This Row],[№]],Поиск_расходки[Индекс13],0)),"")</f>
        <v>DES, NanoMed</v>
      </c>
      <c r="AF61" s="4" t="s">
        <v>6</v>
      </c>
      <c r="AG61" s="4" t="s">
        <v>413</v>
      </c>
    </row>
    <row r="62" spans="1:33">
      <c r="A62">
        <f>ROW(Расходка[[#This Row],[Тип расходного материала ]])-1</f>
        <v>61</v>
      </c>
      <c r="B62" t="s">
        <v>6</v>
      </c>
      <c r="C62" s="129" t="s">
        <v>322</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0</v>
      </c>
      <c r="H62" s="115">
        <f>IF(ISNUMBER(SEARCH('Карта учёта'!$B$16,Расходка[[#This Row],[Наименование расходного материала]])),MAX($H$1:H61)+1,0)</f>
        <v>0</v>
      </c>
      <c r="I62" s="115">
        <f>IF(ISNUMBER(SEARCH('Карта учёта'!$B$17,Расходка[[#This Row],[Наименование расходного материала]])),MAX($I$1:I61)+1,0)</f>
        <v>0</v>
      </c>
      <c r="J62" s="115">
        <f>IF(ISNUMBER(SEARCH('Карта учёта'!$B$18,Расходка[[#This Row],[Наименование расходного материала]])),MAX($J$1:J61)+1,0)</f>
        <v>1</v>
      </c>
      <c r="K62" s="115">
        <f>IF(ISNUMBER(SEARCH('Карта учёта'!$B$19,Расходка[[#This Row],[Наименование расходного материала]])),MAX($K$1:K61)+1,0)</f>
        <v>61</v>
      </c>
      <c r="L62" s="115">
        <f>IF(ISNUMBER(SEARCH('Карта учёта'!$B$20,Расходка[[#This Row],[Наименование расходного материала]])),MAX($L$1:L61)+1,0)</f>
        <v>61</v>
      </c>
      <c r="M62" s="115">
        <f>IF(ISNUMBER(SEARCH('Карта учёта'!$B$21,Расходка[[#This Row],[Наименование расходного материала]])),MAX($M$1:M61)+1,0)</f>
        <v>61</v>
      </c>
      <c r="N62" s="115">
        <f>IF(ISNUMBER(SEARCH('Карта учёта'!$B$22,Расходка[[#This Row],[Наименование расходного материала]])),MAX($N$1:N61)+1,0)</f>
        <v>61</v>
      </c>
      <c r="O62" s="115">
        <f>IF(ISNUMBER(SEARCH('Карта учёта'!$B$23,Расходка[[#This Row],[Наименование расходного материала]])),MAX($O$1:O61)+1,0)</f>
        <v>61</v>
      </c>
      <c r="P62" s="115">
        <f>IF(ISNUMBER(SEARCH('Карта учёта'!$B$24,Расходка[[#This Row],[Наименование расходного материала]])),MAX($P$1:P61)+1,0)</f>
        <v>61</v>
      </c>
      <c r="Q62" s="115">
        <f>IF(ISNUMBER(SEARCH('Карта учёта'!$B$25,Расходка[[#This Row],[Наименование расходного материала]])),MAX($Q$1:Q61)+1,0)</f>
        <v>61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
      </c>
      <c r="U62" s="114" t="str">
        <f>IFERROR(INDEX(Расходка[Наименование расходного материала],MATCH(Расходка[[#This Row],[№]],Поиск_расходки[Индекс4],0)),"")</f>
        <v/>
      </c>
      <c r="V62" s="114" t="str">
        <f>IFERROR(INDEX(Расходка[Наименование расходного материала],MATCH(Расходка[[#This Row],[№]],Поиск_расходки[Индекс5],0)),"")</f>
        <v/>
      </c>
      <c r="W62" s="114" t="str">
        <f>IFERROR(INDEX(Расходка[Наименование расходного материала],MATCH(Расходка[[#This Row],[№]],Поиск_расходки[Индекс6],0)),"")</f>
        <v/>
      </c>
      <c r="X62" s="114" t="str">
        <f>IFERROR(INDEX(Расходка[Наименование расходного материала],MATCH(Расходка[[#This Row],[№]],Поиск_расходки[Индекс7],0)),"")</f>
        <v>DES, Resolute Integtity</v>
      </c>
      <c r="Y62" s="114" t="str">
        <f>IFERROR(INDEX(Расходка[Наименование расходного материала],MATCH(Расходка[[#This Row],[№]],Поиск_расходки[Индекс8],0)),"")</f>
        <v>DES, Resolute Integtity</v>
      </c>
      <c r="Z62" s="114" t="str">
        <f>IFERROR(INDEX(Расходка[Наименование расходного материала],MATCH(Расходка[[#This Row],[№]],Поиск_расходки[Индекс9],0)),"")</f>
        <v>DES, Resolute Integtity</v>
      </c>
      <c r="AA62" s="114" t="str">
        <f>IFERROR(INDEX(Расходка[Наименование расходного материала],MATCH(Расходка[[#This Row],[№]],Поиск_расходки[Индекс10],0)),"")</f>
        <v>DES, Resolute Integtity</v>
      </c>
      <c r="AB62" s="114" t="str">
        <f>IFERROR(INDEX(Расходка[Наименование расходного материала],MATCH(Расходка[[#This Row],[№]],Поиск_расходки[Индекс11],0)),"")</f>
        <v>DES, Resolute Integtity</v>
      </c>
      <c r="AC62" s="114" t="str">
        <f>IFERROR(INDEX(Расходка[Наименование расходного материала],MATCH(Расходка[[#This Row],[№]],Поиск_расходки[Индекс12],0)),"")</f>
        <v>DES, Resolute Integtity</v>
      </c>
      <c r="AD62" s="114" t="str">
        <f>IFERROR(INDEX(Расходка[Наименование расходного материала],MATCH(Расходка[[#This Row],[№]],Поиск_расходки[Индекс13],0)),"")</f>
        <v>DES, Resolute Integtity</v>
      </c>
      <c r="AF62" s="4" t="s">
        <v>6</v>
      </c>
      <c r="AG62" s="4" t="s">
        <v>453</v>
      </c>
    </row>
    <row r="63" spans="1:33">
      <c r="A63">
        <f>ROW(Расходка[[#This Row],[Тип расходного материала ]])-1</f>
        <v>62</v>
      </c>
      <c r="B63" t="s">
        <v>6</v>
      </c>
      <c r="C63" t="s">
        <v>356</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0</v>
      </c>
      <c r="H63" s="115">
        <f>IF(ISNUMBER(SEARCH('Карта учёта'!$B$16,Расходка[[#This Row],[Наименование расходного материала]])),MAX($H$1:H62)+1,0)</f>
        <v>0</v>
      </c>
      <c r="I63" s="115">
        <f>IF(ISNUMBER(SEARCH('Карта учёта'!$B$17,Расходка[[#This Row],[Наименование расходного материала]])),MAX($I$1:I62)+1,0)</f>
        <v>0</v>
      </c>
      <c r="J63" s="115">
        <f>IF(ISNUMBER(SEARCH('Карта учёта'!$B$18,Расходка[[#This Row],[Наименование расходного материала]])),MAX($J$1:J62)+1,0)</f>
        <v>0</v>
      </c>
      <c r="K63" s="115">
        <f>IF(ISNUMBER(SEARCH('Карта учёта'!$B$19,Расходка[[#This Row],[Наименование расходного материала]])),MAX($K$1:K62)+1,0)</f>
        <v>62</v>
      </c>
      <c r="L63" s="115">
        <f>IF(ISNUMBER(SEARCH('Карта учёта'!$B$20,Расходка[[#This Row],[Наименование расходного материала]])),MAX($L$1:L62)+1,0)</f>
        <v>62</v>
      </c>
      <c r="M63" s="115">
        <f>IF(ISNUMBER(SEARCH('Карта учёта'!$B$21,Расходка[[#This Row],[Наименование расходного материала]])),MAX($M$1:M62)+1,0)</f>
        <v>62</v>
      </c>
      <c r="N63" s="115">
        <f>IF(ISNUMBER(SEARCH('Карта учёта'!$B$22,Расходка[[#This Row],[Наименование расходного материала]])),MAX($N$1:N62)+1,0)</f>
        <v>62</v>
      </c>
      <c r="O63" s="115">
        <f>IF(ISNUMBER(SEARCH('Карта учёта'!$B$23,Расходка[[#This Row],[Наименование расходного материала]])),MAX($O$1:O62)+1,0)</f>
        <v>62</v>
      </c>
      <c r="P63" s="115">
        <f>IF(ISNUMBER(SEARCH('Карта учёта'!$B$24,Расходка[[#This Row],[Наименование расходного материала]])),MAX($P$1:P62)+1,0)</f>
        <v>62</v>
      </c>
      <c r="Q63" s="115">
        <f>IF(ISNUMBER(SEARCH('Карта учёта'!$B$25,Расходка[[#This Row],[Наименование расходного материала]])),MAX($Q$1:Q62)+1,0)</f>
        <v>62</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
      </c>
      <c r="U63" s="114" t="str">
        <f>IFERROR(INDEX(Расходка[Наименование расходного материала],MATCH(Расходка[[#This Row],[№]],Поиск_расходки[Индекс4],0)),"")</f>
        <v/>
      </c>
      <c r="V63" s="114" t="str">
        <f>IFERROR(INDEX(Расходка[Наименование расходного материала],MATCH(Расходка[[#This Row],[№]],Поиск_расходки[Индекс5],0)),"")</f>
        <v/>
      </c>
      <c r="W63" s="114" t="str">
        <f>IFERROR(INDEX(Расходка[Наименование расходного материала],MATCH(Расходка[[#This Row],[№]],Поиск_расходки[Индекс6],0)),"")</f>
        <v/>
      </c>
      <c r="X63" s="114" t="str">
        <f>IFERROR(INDEX(Расходка[Наименование расходного материала],MATCH(Расходка[[#This Row],[№]],Поиск_расходки[Индекс7],0)),"")</f>
        <v>DES, Yukon Chrome PC</v>
      </c>
      <c r="Y63" s="114" t="str">
        <f>IFERROR(INDEX(Расходка[Наименование расходного материала],MATCH(Расходка[[#This Row],[№]],Поиск_расходки[Индекс8],0)),"")</f>
        <v>DES, Yukon Chrome PC</v>
      </c>
      <c r="Z63" s="114" t="str">
        <f>IFERROR(INDEX(Расходка[Наименование расходного материала],MATCH(Расходка[[#This Row],[№]],Поиск_расходки[Индекс9],0)),"")</f>
        <v>DES, Yukon Chrome PC</v>
      </c>
      <c r="AA63" s="114" t="str">
        <f>IFERROR(INDEX(Расходка[Наименование расходного материала],MATCH(Расходка[[#This Row],[№]],Поиск_расходки[Индекс10],0)),"")</f>
        <v>DES, Yukon Chrome PC</v>
      </c>
      <c r="AB63" s="114" t="str">
        <f>IFERROR(INDEX(Расходка[Наименование расходного материала],MATCH(Расходка[[#This Row],[№]],Поиск_расходки[Индекс11],0)),"")</f>
        <v>DES, Yukon Chrome PC</v>
      </c>
      <c r="AC63" s="114" t="str">
        <f>IFERROR(INDEX(Расходка[Наименование расходного материала],MATCH(Расходка[[#This Row],[№]],Поиск_расходки[Индекс12],0)),"")</f>
        <v>DES, Yukon Chrome PC</v>
      </c>
      <c r="AD63" s="114" t="str">
        <f>IFERROR(INDEX(Расходка[Наименование расходного материала],MATCH(Расходка[[#This Row],[№]],Поиск_расходки[Индекс13],0)),"")</f>
        <v>DES, Yukon Chrome PC</v>
      </c>
      <c r="AF63" s="4" t="s">
        <v>6</v>
      </c>
      <c r="AG63" s="4" t="s">
        <v>454</v>
      </c>
    </row>
    <row r="64" spans="1:33">
      <c r="A64">
        <f>ROW(Расходка[[#This Row],[Тип расходного материала ]])-1</f>
        <v>63</v>
      </c>
      <c r="B64" t="s">
        <v>6</v>
      </c>
      <c r="C64" s="160" t="s">
        <v>384</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0</v>
      </c>
      <c r="H64" s="115">
        <f>IF(ISNUMBER(SEARCH('Карта учёта'!$B$16,Расходка[[#This Row],[Наименование расходного материала]])),MAX($H$1:H63)+1,0)</f>
        <v>0</v>
      </c>
      <c r="I64" s="115">
        <f>IF(ISNUMBER(SEARCH('Карта учёта'!$B$17,Расходка[[#This Row],[Наименование расходного материала]])),MAX($I$1:I63)+1,0)</f>
        <v>0</v>
      </c>
      <c r="J64" s="115">
        <f>IF(ISNUMBER(SEARCH('Карта учёта'!$B$18,Расходка[[#This Row],[Наименование расходного материала]])),MAX($J$1:J63)+1,0)</f>
        <v>0</v>
      </c>
      <c r="K64" s="115">
        <f>IF(ISNUMBER(SEARCH('Карта учёта'!$B$19,Расходка[[#This Row],[Наименование расходного материала]])),MAX($K$1:K63)+1,0)</f>
        <v>63</v>
      </c>
      <c r="L64" s="115">
        <f>IF(ISNUMBER(SEARCH('Карта учёта'!$B$20,Расходка[[#This Row],[Наименование расходного материала]])),MAX($L$1:L63)+1,0)</f>
        <v>63</v>
      </c>
      <c r="M64" s="115">
        <f>IF(ISNUMBER(SEARCH('Карта учёта'!$B$21,Расходка[[#This Row],[Наименование расходного материала]])),MAX($M$1:M63)+1,0)</f>
        <v>63</v>
      </c>
      <c r="N64" s="115">
        <f>IF(ISNUMBER(SEARCH('Карта учёта'!$B$22,Расходка[[#This Row],[Наименование расходного материала]])),MAX($N$1:N63)+1,0)</f>
        <v>63</v>
      </c>
      <c r="O64" s="115">
        <f>IF(ISNUMBER(SEARCH('Карта учёта'!$B$23,Расходка[[#This Row],[Наименование расходного материала]])),MAX($O$1:O63)+1,0)</f>
        <v>63</v>
      </c>
      <c r="P64" s="115">
        <f>IF(ISNUMBER(SEARCH('Карта учёта'!$B$24,Расходка[[#This Row],[Наименование расходного материала]])),MAX($P$1:P63)+1,0)</f>
        <v>63</v>
      </c>
      <c r="Q64" s="115">
        <f>IF(ISNUMBER(SEARCH('Карта учёта'!$B$25,Расходка[[#This Row],[Наименование расходного материала]])),MAX($Q$1:Q63)+1,0)</f>
        <v>63</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
      </c>
      <c r="U64" s="114" t="str">
        <f>IFERROR(INDEX(Расходка[Наименование расходного материала],MATCH(Расходка[[#This Row],[№]],Поиск_расходки[Индекс4],0)),"")</f>
        <v/>
      </c>
      <c r="V64" s="114" t="str">
        <f>IFERROR(INDEX(Расходка[Наименование расходного материала],MATCH(Расходка[[#This Row],[№]],Поиск_расходки[Индекс5],0)),"")</f>
        <v/>
      </c>
      <c r="W64" s="114" t="str">
        <f>IFERROR(INDEX(Расходка[Наименование расходного материала],MATCH(Расходка[[#This Row],[№]],Поиск_расходки[Индекс6],0)),"")</f>
        <v/>
      </c>
      <c r="X64" s="114" t="str">
        <f>IFERROR(INDEX(Расходка[Наименование расходного материала],MATCH(Расходка[[#This Row],[№]],Поиск_расходки[Индекс7],0)),"")</f>
        <v>DES, Firehawk</v>
      </c>
      <c r="Y64" s="114" t="str">
        <f>IFERROR(INDEX(Расходка[Наименование расходного материала],MATCH(Расходка[[#This Row],[№]],Поиск_расходки[Индекс8],0)),"")</f>
        <v>DES, Firehawk</v>
      </c>
      <c r="Z64" s="114" t="str">
        <f>IFERROR(INDEX(Расходка[Наименование расходного материала],MATCH(Расходка[[#This Row],[№]],Поиск_расходки[Индекс9],0)),"")</f>
        <v>DES, Firehawk</v>
      </c>
      <c r="AA64" s="114" t="str">
        <f>IFERROR(INDEX(Расходка[Наименование расходного материала],MATCH(Расходка[[#This Row],[№]],Поиск_расходки[Индекс10],0)),"")</f>
        <v>DES, Firehawk</v>
      </c>
      <c r="AB64" s="114" t="str">
        <f>IFERROR(INDEX(Расходка[Наименование расходного материала],MATCH(Расходка[[#This Row],[№]],Поиск_расходки[Индекс11],0)),"")</f>
        <v>DES, Firehawk</v>
      </c>
      <c r="AC64" s="114" t="str">
        <f>IFERROR(INDEX(Расходка[Наименование расходного материала],MATCH(Расходка[[#This Row],[№]],Поиск_расходки[Индекс12],0)),"")</f>
        <v>DES, Firehawk</v>
      </c>
      <c r="AD64" s="114" t="str">
        <f>IFERROR(INDEX(Расходка[Наименование расходного материала],MATCH(Расходка[[#This Row],[№]],Поиск_расходки[Индекс13],0)),"")</f>
        <v>DES, Firehawk</v>
      </c>
      <c r="AF64" s="4" t="s">
        <v>6</v>
      </c>
      <c r="AG64" s="4" t="s">
        <v>455</v>
      </c>
    </row>
    <row r="65" spans="1:33">
      <c r="A65">
        <f>ROW(Расходка[[#This Row],[Тип расходного материала ]])-1</f>
        <v>64</v>
      </c>
      <c r="B65" t="s">
        <v>6</v>
      </c>
      <c r="C65" t="s">
        <v>383</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0</v>
      </c>
      <c r="H65" s="115">
        <f>IF(ISNUMBER(SEARCH('Карта учёта'!$B$16,Расходка[[#This Row],[Наименование расходного материала]])),MAX($H$1:H64)+1,0)</f>
        <v>0</v>
      </c>
      <c r="I65" s="115">
        <f>IF(ISNUMBER(SEARCH('Карта учёта'!$B$17,Расходка[[#This Row],[Наименование расходного материала]])),MAX($I$1:I64)+1,0)</f>
        <v>0</v>
      </c>
      <c r="J65" s="115">
        <f>IF(ISNUMBER(SEARCH('Карта учёта'!$B$18,Расходка[[#This Row],[Наименование расходного материала]])),MAX($J$1:J64)+1,0)</f>
        <v>0</v>
      </c>
      <c r="K65" s="115">
        <f>IF(ISNUMBER(SEARCH('Карта учёта'!$B$19,Расходка[[#This Row],[Наименование расходного материала]])),MAX($K$1:K64)+1,0)</f>
        <v>64</v>
      </c>
      <c r="L65" s="115">
        <f>IF(ISNUMBER(SEARCH('Карта учёта'!$B$20,Расходка[[#This Row],[Наименование расходного материала]])),MAX($L$1:L64)+1,0)</f>
        <v>64</v>
      </c>
      <c r="M65" s="115">
        <f>IF(ISNUMBER(SEARCH('Карта учёта'!$B$21,Расходка[[#This Row],[Наименование расходного материала]])),MAX($M$1:M64)+1,0)</f>
        <v>64</v>
      </c>
      <c r="N65" s="115">
        <f>IF(ISNUMBER(SEARCH('Карта учёта'!$B$22,Расходка[[#This Row],[Наименование расходного материала]])),MAX($N$1:N64)+1,0)</f>
        <v>64</v>
      </c>
      <c r="O65" s="115">
        <f>IF(ISNUMBER(SEARCH('Карта учёта'!$B$23,Расходка[[#This Row],[Наименование расходного материала]])),MAX($O$1:O64)+1,0)</f>
        <v>64</v>
      </c>
      <c r="P65" s="115">
        <f>IF(ISNUMBER(SEARCH('Карта учёта'!$B$24,Расходка[[#This Row],[Наименование расходного материала]])),MAX($P$1:P64)+1,0)</f>
        <v>64</v>
      </c>
      <c r="Q65" s="115">
        <f>IF(ISNUMBER(SEARCH('Карта учёта'!$B$25,Расходка[[#This Row],[Наименование расходного материала]])),MAX($Q$1:Q64)+1,0)</f>
        <v>64</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
      </c>
      <c r="U65" s="114" t="str">
        <f>IFERROR(INDEX(Расходка[Наименование расходного материала],MATCH(Расходка[[#This Row],[№]],Поиск_расходки[Индекс4],0)),"")</f>
        <v/>
      </c>
      <c r="V65" s="114" t="str">
        <f>IFERROR(INDEX(Расходка[Наименование расходного материала],MATCH(Расходка[[#This Row],[№]],Поиск_расходки[Индекс5],0)),"")</f>
        <v/>
      </c>
      <c r="W65" s="114" t="str">
        <f>IFERROR(INDEX(Расходка[Наименование расходного материала],MATCH(Расходка[[#This Row],[№]],Поиск_расходки[Индекс6],0)),"")</f>
        <v/>
      </c>
      <c r="X65" s="114" t="str">
        <f>IFERROR(INDEX(Расходка[Наименование расходного материала],MATCH(Расходка[[#This Row],[№]],Поиск_расходки[Индекс7],0)),"")</f>
        <v>DES, Resolute Onyx</v>
      </c>
      <c r="Y65" s="114" t="str">
        <f>IFERROR(INDEX(Расходка[Наименование расходного материала],MATCH(Расходка[[#This Row],[№]],Поиск_расходки[Индекс8],0)),"")</f>
        <v>DES, Resolute Onyx</v>
      </c>
      <c r="Z65" s="114" t="str">
        <f>IFERROR(INDEX(Расходка[Наименование расходного материала],MATCH(Расходка[[#This Row],[№]],Поиск_расходки[Индекс9],0)),"")</f>
        <v>DES, Resolute Onyx</v>
      </c>
      <c r="AA65" s="114" t="str">
        <f>IFERROR(INDEX(Расходка[Наименование расходного материала],MATCH(Расходка[[#This Row],[№]],Поиск_расходки[Индекс10],0)),"")</f>
        <v>DES, Resolute Onyx</v>
      </c>
      <c r="AB65" s="114" t="str">
        <f>IFERROR(INDEX(Расходка[Наименование расходного материала],MATCH(Расходка[[#This Row],[№]],Поиск_расходки[Индекс11],0)),"")</f>
        <v>DES, Resolute Onyx</v>
      </c>
      <c r="AC65" s="114" t="str">
        <f>IFERROR(INDEX(Расходка[Наименование расходного материала],MATCH(Расходка[[#This Row],[№]],Поиск_расходки[Индекс12],0)),"")</f>
        <v>DES, Resolute Onyx</v>
      </c>
      <c r="AD65" s="114" t="str">
        <f>IFERROR(INDEX(Расходка[Наименование расходного материала],MATCH(Расходка[[#This Row],[№]],Поиск_расходки[Индекс13],0)),"")</f>
        <v>DES, Resolute Onyx</v>
      </c>
      <c r="AF65" s="4" t="s">
        <v>6</v>
      </c>
      <c r="AG65" s="4" t="s">
        <v>456</v>
      </c>
    </row>
    <row r="66" spans="1:33">
      <c r="A66">
        <f>ROW(Расходка[[#This Row],[Тип расходного материала ]])-1</f>
        <v>65</v>
      </c>
      <c r="B66" t="s">
        <v>6</v>
      </c>
      <c r="C66" t="s">
        <v>515</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0</v>
      </c>
      <c r="H66" s="115">
        <f>IF(ISNUMBER(SEARCH('Карта учёта'!$B$16,Расходка[[#This Row],[Наименование расходного материала]])),MAX($H$1:H65)+1,0)</f>
        <v>0</v>
      </c>
      <c r="I66" s="115">
        <f>IF(ISNUMBER(SEARCH('Карта учёта'!$B$17,Расходка[[#This Row],[Наименование расходного материала]])),MAX($I$1:I65)+1,0)</f>
        <v>0</v>
      </c>
      <c r="J66" s="115">
        <f>IF(ISNUMBER(SEARCH('Карта учёта'!$B$18,Расходка[[#This Row],[Наименование расходного материала]])),MAX($J$1:J65)+1,0)</f>
        <v>0</v>
      </c>
      <c r="K66" s="115">
        <f>IF(ISNUMBER(SEARCH('Карта учёта'!$B$19,Расходка[[#This Row],[Наименование расходного материала]])),MAX($K$1:K65)+1,0)</f>
        <v>65</v>
      </c>
      <c r="L66" s="115">
        <f>IF(ISNUMBER(SEARCH('Карта учёта'!$B$20,Расходка[[#This Row],[Наименование расходного материала]])),MAX($L$1:L65)+1,0)</f>
        <v>65</v>
      </c>
      <c r="M66" s="115">
        <f>IF(ISNUMBER(SEARCH('Карта учёта'!$B$21,Расходка[[#This Row],[Наименование расходного материала]])),MAX($M$1:M65)+1,0)</f>
        <v>65</v>
      </c>
      <c r="N66" s="115">
        <f>IF(ISNUMBER(SEARCH('Карта учёта'!$B$22,Расходка[[#This Row],[Наименование расходного материала]])),MAX($N$1:N65)+1,0)</f>
        <v>65</v>
      </c>
      <c r="O66" s="115">
        <f>IF(ISNUMBER(SEARCH('Карта учёта'!$B$23,Расходка[[#This Row],[Наименование расходного материала]])),MAX($O$1:O65)+1,0)</f>
        <v>65</v>
      </c>
      <c r="P66" s="115">
        <f>IF(ISNUMBER(SEARCH('Карта учёта'!$B$24,Расходка[[#This Row],[Наименование расходного материала]])),MAX($P$1:P65)+1,0)</f>
        <v>65</v>
      </c>
      <c r="Q66" s="115">
        <f>IF(ISNUMBER(SEARCH('Карта учёта'!$B$25,Расходка[[#This Row],[Наименование расходного материала]])),MAX($Q$1:Q65)+1,0)</f>
        <v>65</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
      </c>
      <c r="U66" s="114" t="str">
        <f>IFERROR(INDEX(Расходка[Наименование расходного материала],MATCH(Расходка[[#This Row],[№]],Поиск_расходки[Индекс4],0)),"")</f>
        <v/>
      </c>
      <c r="V66" s="114" t="str">
        <f>IFERROR(INDEX(Расходка[Наименование расходного материала],MATCH(Расходка[[#This Row],[№]],Поиск_расходки[Индекс5],0)),"")</f>
        <v/>
      </c>
      <c r="W66" s="114" t="str">
        <f>IFERROR(INDEX(Расходка[Наименование расходного материала],MATCH(Расходка[[#This Row],[№]],Поиск_расходки[Индекс6],0)),"")</f>
        <v/>
      </c>
      <c r="X66" s="114" t="str">
        <f>IFERROR(INDEX(Расходка[Наименование расходного материала],MATCH(Расходка[[#This Row],[№]],Поиск_расходки[Индекс7],0)),"")</f>
        <v>DES, Калипсо</v>
      </c>
      <c r="Y66" s="114" t="str">
        <f>IFERROR(INDEX(Расходка[Наименование расходного материала],MATCH(Расходка[[#This Row],[№]],Поиск_расходки[Индекс8],0)),"")</f>
        <v>DES, Калипсо</v>
      </c>
      <c r="Z66" s="114" t="str">
        <f>IFERROR(INDEX(Расходка[Наименование расходного материала],MATCH(Расходка[[#This Row],[№]],Поиск_расходки[Индекс9],0)),"")</f>
        <v>DES, Калипсо</v>
      </c>
      <c r="AA66" s="114" t="str">
        <f>IFERROR(INDEX(Расходка[Наименование расходного материала],MATCH(Расходка[[#This Row],[№]],Поиск_расходки[Индекс10],0)),"")</f>
        <v>DES, Калипсо</v>
      </c>
      <c r="AB66" s="114" t="str">
        <f>IFERROR(INDEX(Расходка[Наименование расходного материала],MATCH(Расходка[[#This Row],[№]],Поиск_расходки[Индекс11],0)),"")</f>
        <v>DES, Калипсо</v>
      </c>
      <c r="AC66" s="114" t="str">
        <f>IFERROR(INDEX(Расходка[Наименование расходного материала],MATCH(Расходка[[#This Row],[№]],Поиск_расходки[Индекс12],0)),"")</f>
        <v>DES, Калипсо</v>
      </c>
      <c r="AD66" s="114" t="str">
        <f>IFERROR(INDEX(Расходка[Наименование расходного материала],MATCH(Расходка[[#This Row],[№]],Поиск_расходки[Индекс13],0)),"")</f>
        <v>DES, Калипсо</v>
      </c>
      <c r="AF66" s="4" t="s">
        <v>6</v>
      </c>
      <c r="AG66" s="4" t="s">
        <v>457</v>
      </c>
    </row>
    <row r="67" spans="1:33">
      <c r="A67">
        <f>ROW(Расходка[[#This Row],[Тип расходного материала ]])-1</f>
        <v>66</v>
      </c>
      <c r="B67" t="s">
        <v>6</v>
      </c>
      <c r="C67" t="s">
        <v>516</v>
      </c>
      <c r="E67" s="194">
        <f>IF(ISNUMBER(SEARCH('Карта учёта'!$B$13,Расходка[[#This Row],[Наименование расходного материала]])),MAX($E$1:E66)+1,0)</f>
        <v>0</v>
      </c>
      <c r="F67" s="194">
        <f>IF(ISNUMBER(SEARCH('Карта учёта'!$B$14,Расходка[[#This Row],[Наименование расходного материала]])),MAX($F$1:F66)+1,0)</f>
        <v>0</v>
      </c>
      <c r="G67" s="194">
        <f>IF(ISNUMBER(SEARCH('Карта учёта'!$B$15,Расходка[[#This Row],[Наименование расходного материала]])),MAX($G$1:G66)+1,0)</f>
        <v>0</v>
      </c>
      <c r="H67" s="194">
        <f>IF(ISNUMBER(SEARCH('Карта учёта'!$B$16,Расходка[[#This Row],[Наименование расходного материала]])),MAX($H$1:H66)+1,0)</f>
        <v>0</v>
      </c>
      <c r="I67" s="194">
        <f>IF(ISNUMBER(SEARCH('Карта учёта'!$B$17,Расходка[[#This Row],[Наименование расходного материала]])),MAX($I$1:I66)+1,0)</f>
        <v>0</v>
      </c>
      <c r="J67" s="194">
        <f>IF(ISNUMBER(SEARCH('Карта учёта'!$B$18,Расходка[[#This Row],[Наименование расходного материала]])),MAX($J$1:J66)+1,0)</f>
        <v>0</v>
      </c>
      <c r="K67" s="194">
        <f>IF(ISNUMBER(SEARCH('Карта учёта'!$B$19,Расходка[[#This Row],[Наименование расходного материала]])),MAX($K$1:K66)+1,0)</f>
        <v>66</v>
      </c>
      <c r="L67" s="194">
        <f>IF(ISNUMBER(SEARCH('Карта учёта'!$B$20,Расходка[[#This Row],[Наименование расходного материала]])),MAX($L$1:L66)+1,0)</f>
        <v>66</v>
      </c>
      <c r="M67" s="194">
        <f>IF(ISNUMBER(SEARCH('Карта учёта'!$B$21,Расходка[[#This Row],[Наименование расходного материала]])),MAX($M$1:M66)+1,0)</f>
        <v>66</v>
      </c>
      <c r="N67" s="194">
        <f>IF(ISNUMBER(SEARCH('Карта учёта'!$B$22,Расходка[[#This Row],[Наименование расходного материала]])),MAX($N$1:N66)+1,0)</f>
        <v>66</v>
      </c>
      <c r="O67" s="194">
        <f>IF(ISNUMBER(SEARCH('Карта учёта'!$B$23,Расходка[[#This Row],[Наименование расходного материала]])),MAX($O$1:O66)+1,0)</f>
        <v>66</v>
      </c>
      <c r="P67" s="194">
        <f>IF(ISNUMBER(SEARCH('Карта учёта'!$B$24,Расходка[[#This Row],[Наименование расходного материала]])),MAX($P$1:P66)+1,0)</f>
        <v>66</v>
      </c>
      <c r="Q67" s="194">
        <f>IF(ISNUMBER(SEARCH('Карта учёта'!$B$25,Расходка[[#This Row],[Наименование расходного материала]])),MAX($Q$1:Q66)+1,0)</f>
        <v>66</v>
      </c>
      <c r="R67" s="195" t="str">
        <f>IFERROR(INDEX(Расходка[Наименование расходного материала],MATCH(Расходка[[#This Row],[№]],Поиск_расходки[Индекс1],0)),"")</f>
        <v/>
      </c>
      <c r="S67" s="195" t="str">
        <f>IFERROR(INDEX(Расходка[Наименование расходного материала],MATCH(Расходка[[#This Row],[№]],Поиск_расходки[Индекс2],0)),"")</f>
        <v/>
      </c>
      <c r="T67" s="195" t="str">
        <f>IFERROR(INDEX(Расходка[Наименование расходного материала],MATCH(Расходка[[#This Row],[№]],Поиск_расходки[Индекс3],0)),"")</f>
        <v/>
      </c>
      <c r="U67" s="195" t="str">
        <f>IFERROR(INDEX(Расходка[Наименование расходного материала],MATCH(Расходка[[#This Row],[№]],Поиск_расходки[Индекс4],0)),"")</f>
        <v/>
      </c>
      <c r="V67" s="195" t="str">
        <f>IFERROR(INDEX(Расходка[Наименование расходного материала],MATCH(Расходка[[#This Row],[№]],Поиск_расходки[Индекс5],0)),"")</f>
        <v/>
      </c>
      <c r="W67" s="195" t="str">
        <f>IFERROR(INDEX(Расходка[Наименование расходного материала],MATCH(Расходка[[#This Row],[№]],Поиск_расходки[Индекс6],0)),"")</f>
        <v/>
      </c>
      <c r="X67" s="195" t="str">
        <f>IFERROR(INDEX(Расходка[Наименование расходного материала],MATCH(Расходка[[#This Row],[№]],Поиск_расходки[Индекс7],0)),"")</f>
        <v>Meril Evermine50™</v>
      </c>
      <c r="Y67" s="195" t="str">
        <f>IFERROR(INDEX(Расходка[Наименование расходного материала],MATCH(Расходка[[#This Row],[№]],Поиск_расходки[Индекс8],0)),"")</f>
        <v>Meril Evermine50™</v>
      </c>
      <c r="Z67" s="195" t="str">
        <f>IFERROR(INDEX(Расходка[Наименование расходного материала],MATCH(Расходка[[#This Row],[№]],Поиск_расходки[Индекс9],0)),"")</f>
        <v>Meril Evermine50™</v>
      </c>
      <c r="AA67" s="195" t="str">
        <f>IFERROR(INDEX(Расходка[Наименование расходного материала],MATCH(Расходка[[#This Row],[№]],Поиск_расходки[Индекс10],0)),"")</f>
        <v>Meril Evermine50™</v>
      </c>
      <c r="AB67" s="195" t="str">
        <f>IFERROR(INDEX(Расходка[Наименование расходного материала],MATCH(Расходка[[#This Row],[№]],Поиск_расходки[Индекс11],0)),"")</f>
        <v>Meril Evermine50™</v>
      </c>
      <c r="AC67" s="195" t="str">
        <f>IFERROR(INDEX(Расходка[Наименование расходного материала],MATCH(Расходка[[#This Row],[№]],Поиск_расходки[Индекс12],0)),"")</f>
        <v>Meril Evermine50™</v>
      </c>
      <c r="AD67" s="195" t="str">
        <f>IFERROR(INDEX(Расходка[Наименование расходного материала],MATCH(Расходка[[#This Row],[№]],Поиск_расходки[Индекс13],0)),"")</f>
        <v>Meril Evermine50™</v>
      </c>
      <c r="AF67" s="4" t="s">
        <v>6</v>
      </c>
      <c r="AG67" s="4" t="s">
        <v>458</v>
      </c>
    </row>
    <row r="68" spans="1:33">
      <c r="A68">
        <f>ROW(Расходка[[#This Row],[Тип расходного материала ]])-1</f>
        <v>67</v>
      </c>
      <c r="B68" t="s">
        <v>95</v>
      </c>
      <c r="C68" s="1" t="s">
        <v>323</v>
      </c>
      <c r="E68" s="194">
        <f>IF(ISNUMBER(SEARCH('Карта учёта'!$B$13,Расходка[[#This Row],[Наименование расходного материала]])),MAX($E$1:E67)+1,0)</f>
        <v>0</v>
      </c>
      <c r="F68" s="194">
        <f>IF(ISNUMBER(SEARCH('Карта учёта'!$B$14,Расходка[[#This Row],[Наименование расходного материала]])),MAX($F$1:F67)+1,0)</f>
        <v>0</v>
      </c>
      <c r="G68" s="194">
        <f>IF(ISNUMBER(SEARCH('Карта учёта'!$B$15,Расходка[[#This Row],[Наименование расходного материала]])),MAX($G$1:G67)+1,0)</f>
        <v>0</v>
      </c>
      <c r="H68" s="194">
        <f>IF(ISNUMBER(SEARCH('Карта учёта'!$B$16,Расходка[[#This Row],[Наименование расходного материала]])),MAX($H$1:H67)+1,0)</f>
        <v>0</v>
      </c>
      <c r="I68" s="194">
        <f>IF(ISNUMBER(SEARCH('Карта учёта'!$B$17,Расходка[[#This Row],[Наименование расходного материала]])),MAX($I$1:I67)+1,0)</f>
        <v>0</v>
      </c>
      <c r="J68" s="194">
        <f>IF(ISNUMBER(SEARCH('Карта учёта'!$B$18,Расходка[[#This Row],[Наименование расходного материала]])),MAX($J$1:J67)+1,0)</f>
        <v>0</v>
      </c>
      <c r="K68" s="194">
        <f>IF(ISNUMBER(SEARCH('Карта учёта'!$B$19,Расходка[[#This Row],[Наименование расходного материала]])),MAX($K$1:K67)+1,0)</f>
        <v>67</v>
      </c>
      <c r="L68" s="194">
        <f>IF(ISNUMBER(SEARCH('Карта учёта'!$B$20,Расходка[[#This Row],[Наименование расходного материала]])),MAX($L$1:L67)+1,0)</f>
        <v>67</v>
      </c>
      <c r="M68" s="194">
        <f>IF(ISNUMBER(SEARCH('Карта учёта'!$B$21,Расходка[[#This Row],[Наименование расходного материала]])),MAX($M$1:M67)+1,0)</f>
        <v>67</v>
      </c>
      <c r="N68" s="194">
        <f>IF(ISNUMBER(SEARCH('Карта учёта'!$B$22,Расходка[[#This Row],[Наименование расходного материала]])),MAX($N$1:N67)+1,0)</f>
        <v>67</v>
      </c>
      <c r="O68" s="194">
        <f>IF(ISNUMBER(SEARCH('Карта учёта'!$B$23,Расходка[[#This Row],[Наименование расходного материала]])),MAX($O$1:O67)+1,0)</f>
        <v>67</v>
      </c>
      <c r="P68" s="194">
        <f>IF(ISNUMBER(SEARCH('Карта учёта'!$B$24,Расходка[[#This Row],[Наименование расходного материала]])),MAX($P$1:P67)+1,0)</f>
        <v>67</v>
      </c>
      <c r="Q68" s="194">
        <f>IF(ISNUMBER(SEARCH('Карта учёта'!$B$25,Расходка[[#This Row],[Наименование расходного материала]])),MAX($Q$1:Q67)+1,0)</f>
        <v>67</v>
      </c>
      <c r="R68" s="195" t="str">
        <f>IFERROR(INDEX(Расходка[Наименование расходного материала],MATCH(Расходка[[#This Row],[№]],Поиск_расходки[Индекс1],0)),"")</f>
        <v/>
      </c>
      <c r="S68" s="195" t="str">
        <f>IFERROR(INDEX(Расходка[Наименование расходного материала],MATCH(Расходка[[#This Row],[№]],Поиск_расходки[Индекс2],0)),"")</f>
        <v/>
      </c>
      <c r="T68" s="195" t="str">
        <f>IFERROR(INDEX(Расходка[Наименование расходного материала],MATCH(Расходка[[#This Row],[№]],Поиск_расходки[Индекс3],0)),"")</f>
        <v/>
      </c>
      <c r="U68" s="195" t="str">
        <f>IFERROR(INDEX(Расходка[Наименование расходного материала],MATCH(Расходка[[#This Row],[№]],Поиск_расходки[Индекс4],0)),"")</f>
        <v/>
      </c>
      <c r="V68" s="195" t="str">
        <f>IFERROR(INDEX(Расходка[Наименование расходного материала],MATCH(Расходка[[#This Row],[№]],Поиск_расходки[Индекс5],0)),"")</f>
        <v/>
      </c>
      <c r="W68" s="195" t="str">
        <f>IFERROR(INDEX(Расходка[Наименование расходного материала],MATCH(Расходка[[#This Row],[№]],Поиск_расходки[Индекс6],0)),"")</f>
        <v/>
      </c>
      <c r="X68" s="195" t="str">
        <f>IFERROR(INDEX(Расходка[Наименование расходного материала],MATCH(Расходка[[#This Row],[№]],Поиск_расходки[Индекс7],0)),"")</f>
        <v>Guidezilla™ II 6F</v>
      </c>
      <c r="Y68" s="195" t="str">
        <f>IFERROR(INDEX(Расходка[Наименование расходного материала],MATCH(Расходка[[#This Row],[№]],Поиск_расходки[Индекс8],0)),"")</f>
        <v>Guidezilla™ II 6F</v>
      </c>
      <c r="Z68" s="195" t="str">
        <f>IFERROR(INDEX(Расходка[Наименование расходного материала],MATCH(Расходка[[#This Row],[№]],Поиск_расходки[Индекс9],0)),"")</f>
        <v>Guidezilla™ II 6F</v>
      </c>
      <c r="AA68" s="195" t="str">
        <f>IFERROR(INDEX(Расходка[Наименование расходного материала],MATCH(Расходка[[#This Row],[№]],Поиск_расходки[Индекс10],0)),"")</f>
        <v>Guidezilla™ II 6F</v>
      </c>
      <c r="AB68" s="195" t="str">
        <f>IFERROR(INDEX(Расходка[Наименование расходного материала],MATCH(Расходка[[#This Row],[№]],Поиск_расходки[Индекс11],0)),"")</f>
        <v>Guidezilla™ II 6F</v>
      </c>
      <c r="AC68" s="195" t="str">
        <f>IFERROR(INDEX(Расходка[Наименование расходного материала],MATCH(Расходка[[#This Row],[№]],Поиск_расходки[Индекс12],0)),"")</f>
        <v>Guidezilla™ II 6F</v>
      </c>
      <c r="AD68" s="195" t="str">
        <f>IFERROR(INDEX(Расходка[Наименование расходного материала],MATCH(Расходка[[#This Row],[№]],Поиск_расходки[Индекс13],0)),"")</f>
        <v>Guidezilla™ II 6F</v>
      </c>
      <c r="AF68" s="4" t="s">
        <v>6</v>
      </c>
      <c r="AG68" s="4" t="s">
        <v>459</v>
      </c>
    </row>
    <row r="69" spans="1:33">
      <c r="A69">
        <f>ROW(Расходка[[#This Row],[Тип расходного материала ]])-1</f>
        <v>68</v>
      </c>
      <c r="B69" t="s">
        <v>95</v>
      </c>
      <c r="C69" s="1" t="s">
        <v>342</v>
      </c>
      <c r="E69" s="194">
        <f>IF(ISNUMBER(SEARCH('Карта учёта'!$B$13,Расходка[[#This Row],[Наименование расходного материала]])),MAX($E$1:E68)+1,0)</f>
        <v>0</v>
      </c>
      <c r="F69" s="194">
        <f>IF(ISNUMBER(SEARCH('Карта учёта'!$B$14,Расходка[[#This Row],[Наименование расходного материала]])),MAX($F$1:F68)+1,0)</f>
        <v>0</v>
      </c>
      <c r="G69" s="194">
        <f>IF(ISNUMBER(SEARCH('Карта учёта'!$B$15,Расходка[[#This Row],[Наименование расходного материала]])),MAX($G$1:G68)+1,0)</f>
        <v>0</v>
      </c>
      <c r="H69" s="194">
        <f>IF(ISNUMBER(SEARCH('Карта учёта'!$B$16,Расходка[[#This Row],[Наименование расходного материала]])),MAX($H$1:H68)+1,0)</f>
        <v>0</v>
      </c>
      <c r="I69" s="194">
        <f>IF(ISNUMBER(SEARCH('Карта учёта'!$B$17,Расходка[[#This Row],[Наименование расходного материала]])),MAX($I$1:I68)+1,0)</f>
        <v>0</v>
      </c>
      <c r="J69" s="194">
        <f>IF(ISNUMBER(SEARCH('Карта учёта'!$B$18,Расходка[[#This Row],[Наименование расходного материала]])),MAX($J$1:J68)+1,0)</f>
        <v>0</v>
      </c>
      <c r="K69" s="194">
        <f>IF(ISNUMBER(SEARCH('Карта учёта'!$B$19,Расходка[[#This Row],[Наименование расходного материала]])),MAX($K$1:K68)+1,0)</f>
        <v>68</v>
      </c>
      <c r="L69" s="194">
        <f>IF(ISNUMBER(SEARCH('Карта учёта'!$B$20,Расходка[[#This Row],[Наименование расходного материала]])),MAX($L$1:L68)+1,0)</f>
        <v>68</v>
      </c>
      <c r="M69" s="194">
        <f>IF(ISNUMBER(SEARCH('Карта учёта'!$B$21,Расходка[[#This Row],[Наименование расходного материала]])),MAX($M$1:M68)+1,0)</f>
        <v>68</v>
      </c>
      <c r="N69" s="194">
        <f>IF(ISNUMBER(SEARCH('Карта учёта'!$B$22,Расходка[[#This Row],[Наименование расходного материала]])),MAX($N$1:N68)+1,0)</f>
        <v>68</v>
      </c>
      <c r="O69" s="194">
        <f>IF(ISNUMBER(SEARCH('Карта учёта'!$B$23,Расходка[[#This Row],[Наименование расходного материала]])),MAX($O$1:O68)+1,0)</f>
        <v>68</v>
      </c>
      <c r="P69" s="194">
        <f>IF(ISNUMBER(SEARCH('Карта учёта'!$B$24,Расходка[[#This Row],[Наименование расходного материала]])),MAX($P$1:P68)+1,0)</f>
        <v>68</v>
      </c>
      <c r="Q69" s="194">
        <f>IF(ISNUMBER(SEARCH('Карта учёта'!$B$25,Расходка[[#This Row],[Наименование расходного материала]])),MAX($Q$1:Q68)+1,0)</f>
        <v>68</v>
      </c>
      <c r="R69" s="195" t="str">
        <f>IFERROR(INDEX(Расходка[Наименование расходного материала],MATCH(Расходка[[#This Row],[№]],Поиск_расходки[Индекс1],0)),"")</f>
        <v/>
      </c>
      <c r="S69" s="195" t="str">
        <f>IFERROR(INDEX(Расходка[Наименование расходного материала],MATCH(Расходка[[#This Row],[№]],Поиск_расходки[Индекс2],0)),"")</f>
        <v/>
      </c>
      <c r="T69" s="195" t="str">
        <f>IFERROR(INDEX(Расходка[Наименование расходного материала],MATCH(Расходка[[#This Row],[№]],Поиск_расходки[Индекс3],0)),"")</f>
        <v/>
      </c>
      <c r="U69" s="195" t="str">
        <f>IFERROR(INDEX(Расходка[Наименование расходного материала],MATCH(Расходка[[#This Row],[№]],Поиск_расходки[Индекс4],0)),"")</f>
        <v/>
      </c>
      <c r="V69" s="195" t="str">
        <f>IFERROR(INDEX(Расходка[Наименование расходного материала],MATCH(Расходка[[#This Row],[№]],Поиск_расходки[Индекс5],0)),"")</f>
        <v/>
      </c>
      <c r="W69" s="195" t="str">
        <f>IFERROR(INDEX(Расходка[Наименование расходного материала],MATCH(Расходка[[#This Row],[№]],Поиск_расходки[Индекс6],0)),"")</f>
        <v/>
      </c>
      <c r="X69" s="195" t="str">
        <f>IFERROR(INDEX(Расходка[Наименование расходного материала],MATCH(Расходка[[#This Row],[№]],Поиск_расходки[Индекс7],0)),"")</f>
        <v>Telescope ™ II 6F</v>
      </c>
      <c r="Y69" s="195" t="str">
        <f>IFERROR(INDEX(Расходка[Наименование расходного материала],MATCH(Расходка[[#This Row],[№]],Поиск_расходки[Индекс8],0)),"")</f>
        <v>Telescope ™ II 6F</v>
      </c>
      <c r="Z69" s="195" t="str">
        <f>IFERROR(INDEX(Расходка[Наименование расходного материала],MATCH(Расходка[[#This Row],[№]],Поиск_расходки[Индекс9],0)),"")</f>
        <v>Telescope ™ II 6F</v>
      </c>
      <c r="AA69" s="195" t="str">
        <f>IFERROR(INDEX(Расходка[Наименование расходного материала],MATCH(Расходка[[#This Row],[№]],Поиск_расходки[Индекс10],0)),"")</f>
        <v>Telescope ™ II 6F</v>
      </c>
      <c r="AB69" s="195" t="str">
        <f>IFERROR(INDEX(Расходка[Наименование расходного материала],MATCH(Расходка[[#This Row],[№]],Поиск_расходки[Индекс11],0)),"")</f>
        <v>Telescope ™ II 6F</v>
      </c>
      <c r="AC69" s="195" t="str">
        <f>IFERROR(INDEX(Расходка[Наименование расходного материала],MATCH(Расходка[[#This Row],[№]],Поиск_расходки[Индекс12],0)),"")</f>
        <v>Telescope ™ II 6F</v>
      </c>
      <c r="AD69" s="195" t="str">
        <f>IFERROR(INDEX(Расходка[Наименование расходного материала],MATCH(Расходка[[#This Row],[№]],Поиск_расходки[Индекс13],0)),"")</f>
        <v>Telescope ™ II 6F</v>
      </c>
      <c r="AF69" s="4" t="s">
        <v>6</v>
      </c>
      <c r="AG69" s="4" t="s">
        <v>460</v>
      </c>
    </row>
    <row r="70" spans="1:33">
      <c r="A70">
        <f>ROW(Расходка[[#This Row],[Тип расходного материала ]])-1</f>
        <v>69</v>
      </c>
      <c r="B70" t="s">
        <v>4</v>
      </c>
      <c r="C70" t="s">
        <v>349</v>
      </c>
      <c r="E70" s="194">
        <f>IF(ISNUMBER(SEARCH('Карта учёта'!$B$13,Расходка[[#This Row],[Наименование расходного материала]])),MAX($E$1:E69)+1,0)</f>
        <v>0</v>
      </c>
      <c r="F70" s="194">
        <f>IF(ISNUMBER(SEARCH('Карта учёта'!$B$14,Расходка[[#This Row],[Наименование расходного материала]])),MAX($F$1:F69)+1,0)</f>
        <v>0</v>
      </c>
      <c r="G70" s="194">
        <f>IF(ISNUMBER(SEARCH('Карта учёта'!$B$15,Расходка[[#This Row],[Наименование расходного материала]])),MAX($G$1:G69)+1,0)</f>
        <v>0</v>
      </c>
      <c r="H70" s="194">
        <f>IF(ISNUMBER(SEARCH('Карта учёта'!$B$16,Расходка[[#This Row],[Наименование расходного материала]])),MAX($H$1:H69)+1,0)</f>
        <v>0</v>
      </c>
      <c r="I70" s="194">
        <f>IF(ISNUMBER(SEARCH('Карта учёта'!$B$17,Расходка[[#This Row],[Наименование расходного материала]])),MAX($I$1:I69)+1,0)</f>
        <v>0</v>
      </c>
      <c r="J70" s="194">
        <f>IF(ISNUMBER(SEARCH('Карта учёта'!$B$18,Расходка[[#This Row],[Наименование расходного материала]])),MAX($J$1:J69)+1,0)</f>
        <v>0</v>
      </c>
      <c r="K70" s="194">
        <f>IF(ISNUMBER(SEARCH('Карта учёта'!$B$19,Расходка[[#This Row],[Наименование расходного материала]])),MAX($K$1:K69)+1,0)</f>
        <v>69</v>
      </c>
      <c r="L70" s="194">
        <f>IF(ISNUMBER(SEARCH('Карта учёта'!$B$20,Расходка[[#This Row],[Наименование расходного материала]])),MAX($L$1:L69)+1,0)</f>
        <v>69</v>
      </c>
      <c r="M70" s="194">
        <f>IF(ISNUMBER(SEARCH('Карта учёта'!$B$21,Расходка[[#This Row],[Наименование расходного материала]])),MAX($M$1:M69)+1,0)</f>
        <v>69</v>
      </c>
      <c r="N70" s="194">
        <f>IF(ISNUMBER(SEARCH('Карта учёта'!$B$22,Расходка[[#This Row],[Наименование расходного материала]])),MAX($N$1:N69)+1,0)</f>
        <v>69</v>
      </c>
      <c r="O70" s="194">
        <f>IF(ISNUMBER(SEARCH('Карта учёта'!$B$23,Расходка[[#This Row],[Наименование расходного материала]])),MAX($O$1:O69)+1,0)</f>
        <v>69</v>
      </c>
      <c r="P70" s="194">
        <f>IF(ISNUMBER(SEARCH('Карта учёта'!$B$24,Расходка[[#This Row],[Наименование расходного материала]])),MAX($P$1:P69)+1,0)</f>
        <v>69</v>
      </c>
      <c r="Q70" s="194">
        <f>IF(ISNUMBER(SEARCH('Карта учёта'!$B$25,Расходка[[#This Row],[Наименование расходного материала]])),MAX($Q$1:Q69)+1,0)</f>
        <v>69</v>
      </c>
      <c r="R70" s="195" t="str">
        <f>IFERROR(INDEX(Расходка[Наименование расходного материала],MATCH(Расходка[[#This Row],[№]],Поиск_расходки[Индекс1],0)),"")</f>
        <v/>
      </c>
      <c r="S70" s="195" t="str">
        <f>IFERROR(INDEX(Расходка[Наименование расходного материала],MATCH(Расходка[[#This Row],[№]],Поиск_расходки[Индекс2],0)),"")</f>
        <v/>
      </c>
      <c r="T70" s="195" t="str">
        <f>IFERROR(INDEX(Расходка[Наименование расходного материала],MATCH(Расходка[[#This Row],[№]],Поиск_расходки[Индекс3],0)),"")</f>
        <v/>
      </c>
      <c r="U70" s="195" t="str">
        <f>IFERROR(INDEX(Расходка[Наименование расходного материала],MATCH(Расходка[[#This Row],[№]],Поиск_расходки[Индекс4],0)),"")</f>
        <v/>
      </c>
      <c r="V70" s="195" t="str">
        <f>IFERROR(INDEX(Расходка[Наименование расходного материала],MATCH(Расходка[[#This Row],[№]],Поиск_расходки[Индекс5],0)),"")</f>
        <v/>
      </c>
      <c r="W70" s="195" t="str">
        <f>IFERROR(INDEX(Расходка[Наименование расходного материала],MATCH(Расходка[[#This Row],[№]],Поиск_расходки[Индекс6],0)),"")</f>
        <v/>
      </c>
      <c r="X70" s="195" t="str">
        <f>IFERROR(INDEX(Расходка[Наименование расходного материала],MATCH(Расходка[[#This Row],[№]],Поиск_расходки[Индекс7],0)),"")</f>
        <v>Launcher 6F AL 1</v>
      </c>
      <c r="Y70" s="195" t="str">
        <f>IFERROR(INDEX(Расходка[Наименование расходного материала],MATCH(Расходка[[#This Row],[№]],Поиск_расходки[Индекс8],0)),"")</f>
        <v>Launcher 6F AL 1</v>
      </c>
      <c r="Z70" s="195" t="str">
        <f>IFERROR(INDEX(Расходка[Наименование расходного материала],MATCH(Расходка[[#This Row],[№]],Поиск_расходки[Индекс9],0)),"")</f>
        <v>Launcher 6F AL 1</v>
      </c>
      <c r="AA70" s="195" t="str">
        <f>IFERROR(INDEX(Расходка[Наименование расходного материала],MATCH(Расходка[[#This Row],[№]],Поиск_расходки[Индекс10],0)),"")</f>
        <v>Launcher 6F AL 1</v>
      </c>
      <c r="AB70" s="195" t="str">
        <f>IFERROR(INDEX(Расходка[Наименование расходного материала],MATCH(Расходка[[#This Row],[№]],Поиск_расходки[Индекс11],0)),"")</f>
        <v>Launcher 6F AL 1</v>
      </c>
      <c r="AC70" s="195" t="str">
        <f>IFERROR(INDEX(Расходка[Наименование расходного материала],MATCH(Расходка[[#This Row],[№]],Поиск_расходки[Индекс12],0)),"")</f>
        <v>Launcher 6F AL 1</v>
      </c>
      <c r="AD70" s="195" t="str">
        <f>IFERROR(INDEX(Расходка[Наименование расходного материала],MATCH(Расходка[[#This Row],[№]],Поиск_расходки[Индекс13],0)),"")</f>
        <v>Launcher 6F AL 1</v>
      </c>
      <c r="AF70" s="4" t="s">
        <v>6</v>
      </c>
      <c r="AG70" s="4" t="s">
        <v>461</v>
      </c>
    </row>
    <row r="71" spans="1:33">
      <c r="A71">
        <f>ROW(Расходка[[#This Row],[Тип расходного материала ]])-1</f>
        <v>70</v>
      </c>
      <c r="B71" t="s">
        <v>4</v>
      </c>
      <c r="C71" t="s">
        <v>350</v>
      </c>
      <c r="E71" s="194">
        <f>IF(ISNUMBER(SEARCH('Карта учёта'!$B$13,Расходка[[#This Row],[Наименование расходного материала]])),MAX($E$1:E70)+1,0)</f>
        <v>0</v>
      </c>
      <c r="F71" s="194">
        <f>IF(ISNUMBER(SEARCH('Карта учёта'!$B$14,Расходка[[#This Row],[Наименование расходного материала]])),MAX($F$1:F70)+1,0)</f>
        <v>0</v>
      </c>
      <c r="G71" s="194">
        <f>IF(ISNUMBER(SEARCH('Карта учёта'!$B$15,Расходка[[#This Row],[Наименование расходного материала]])),MAX($G$1:G70)+1,0)</f>
        <v>0</v>
      </c>
      <c r="H71" s="194">
        <f>IF(ISNUMBER(SEARCH('Карта учёта'!$B$16,Расходка[[#This Row],[Наименование расходного материала]])),MAX($H$1:H70)+1,0)</f>
        <v>0</v>
      </c>
      <c r="I71" s="194">
        <f>IF(ISNUMBER(SEARCH('Карта учёта'!$B$17,Расходка[[#This Row],[Наименование расходного материала]])),MAX($I$1:I70)+1,0)</f>
        <v>0</v>
      </c>
      <c r="J71" s="194">
        <f>IF(ISNUMBER(SEARCH('Карта учёта'!$B$18,Расходка[[#This Row],[Наименование расходного материала]])),MAX($J$1:J70)+1,0)</f>
        <v>0</v>
      </c>
      <c r="K71" s="194">
        <f>IF(ISNUMBER(SEARCH('Карта учёта'!$B$19,Расходка[[#This Row],[Наименование расходного материала]])),MAX($K$1:K70)+1,0)</f>
        <v>70</v>
      </c>
      <c r="L71" s="194">
        <f>IF(ISNUMBER(SEARCH('Карта учёта'!$B$20,Расходка[[#This Row],[Наименование расходного материала]])),MAX($L$1:L70)+1,0)</f>
        <v>70</v>
      </c>
      <c r="M71" s="194">
        <f>IF(ISNUMBER(SEARCH('Карта учёта'!$B$21,Расходка[[#This Row],[Наименование расходного материала]])),MAX($M$1:M70)+1,0)</f>
        <v>70</v>
      </c>
      <c r="N71" s="194">
        <f>IF(ISNUMBER(SEARCH('Карта учёта'!$B$22,Расходка[[#This Row],[Наименование расходного материала]])),MAX($N$1:N70)+1,0)</f>
        <v>70</v>
      </c>
      <c r="O71" s="194">
        <f>IF(ISNUMBER(SEARCH('Карта учёта'!$B$23,Расходка[[#This Row],[Наименование расходного материала]])),MAX($O$1:O70)+1,0)</f>
        <v>70</v>
      </c>
      <c r="P71" s="194">
        <f>IF(ISNUMBER(SEARCH('Карта учёта'!$B$24,Расходка[[#This Row],[Наименование расходного материала]])),MAX($P$1:P70)+1,0)</f>
        <v>70</v>
      </c>
      <c r="Q71" s="194">
        <f>IF(ISNUMBER(SEARCH('Карта учёта'!$B$25,Расходка[[#This Row],[Наименование расходного материала]])),MAX($Q$1:Q70)+1,0)</f>
        <v>70</v>
      </c>
      <c r="R71" s="195" t="str">
        <f>IFERROR(INDEX(Расходка[Наименование расходного материала],MATCH(Расходка[[#This Row],[№]],Поиск_расходки[Индекс1],0)),"")</f>
        <v/>
      </c>
      <c r="S71" s="195" t="str">
        <f>IFERROR(INDEX(Расходка[Наименование расходного материала],MATCH(Расходка[[#This Row],[№]],Поиск_расходки[Индекс2],0)),"")</f>
        <v/>
      </c>
      <c r="T71" s="195" t="str">
        <f>IFERROR(INDEX(Расходка[Наименование расходного материала],MATCH(Расходка[[#This Row],[№]],Поиск_расходки[Индекс3],0)),"")</f>
        <v/>
      </c>
      <c r="U71" s="195" t="str">
        <f>IFERROR(INDEX(Расходка[Наименование расходного материала],MATCH(Расходка[[#This Row],[№]],Поиск_расходки[Индекс4],0)),"")</f>
        <v/>
      </c>
      <c r="V71" s="195" t="str">
        <f>IFERROR(INDEX(Расходка[Наименование расходного материала],MATCH(Расходка[[#This Row],[№]],Поиск_расходки[Индекс5],0)),"")</f>
        <v/>
      </c>
      <c r="W71" s="195" t="str">
        <f>IFERROR(INDEX(Расходка[Наименование расходного материала],MATCH(Расходка[[#This Row],[№]],Поиск_расходки[Индекс6],0)),"")</f>
        <v/>
      </c>
      <c r="X71" s="195" t="str">
        <f>IFERROR(INDEX(Расходка[Наименование расходного материала],MATCH(Расходка[[#This Row],[№]],Поиск_расходки[Индекс7],0)),"")</f>
        <v>Launcher 6F AL 2</v>
      </c>
      <c r="Y71" s="195" t="str">
        <f>IFERROR(INDEX(Расходка[Наименование расходного материала],MATCH(Расходка[[#This Row],[№]],Поиск_расходки[Индекс8],0)),"")</f>
        <v>Launcher 6F AL 2</v>
      </c>
      <c r="Z71" s="195" t="str">
        <f>IFERROR(INDEX(Расходка[Наименование расходного материала],MATCH(Расходка[[#This Row],[№]],Поиск_расходки[Индекс9],0)),"")</f>
        <v>Launcher 6F AL 2</v>
      </c>
      <c r="AA71" s="195" t="str">
        <f>IFERROR(INDEX(Расходка[Наименование расходного материала],MATCH(Расходка[[#This Row],[№]],Поиск_расходки[Индекс10],0)),"")</f>
        <v>Launcher 6F AL 2</v>
      </c>
      <c r="AB71" s="195" t="str">
        <f>IFERROR(INDEX(Расходка[Наименование расходного материала],MATCH(Расходка[[#This Row],[№]],Поиск_расходки[Индекс11],0)),"")</f>
        <v>Launcher 6F AL 2</v>
      </c>
      <c r="AC71" s="195" t="str">
        <f>IFERROR(INDEX(Расходка[Наименование расходного материала],MATCH(Расходка[[#This Row],[№]],Поиск_расходки[Индекс12],0)),"")</f>
        <v>Launcher 6F AL 2</v>
      </c>
      <c r="AD71" s="195" t="str">
        <f>IFERROR(INDEX(Расходка[Наименование расходного материала],MATCH(Расходка[[#This Row],[№]],Поиск_расходки[Индекс13],0)),"")</f>
        <v>Launcher 6F AL 2</v>
      </c>
      <c r="AF71" s="4" t="s">
        <v>6</v>
      </c>
      <c r="AG71" s="4" t="s">
        <v>416</v>
      </c>
    </row>
    <row r="72" spans="1:33">
      <c r="A72">
        <f>ROW(Расходка[[#This Row],[Тип расходного материала ]])-1</f>
        <v>71</v>
      </c>
      <c r="B72" t="s">
        <v>4</v>
      </c>
      <c r="C72" t="s">
        <v>324</v>
      </c>
      <c r="E72" s="194">
        <f>IF(ISNUMBER(SEARCH('Карта учёта'!$B$13,Расходка[[#This Row],[Наименование расходного материала]])),MAX($E$1:E71)+1,0)</f>
        <v>0</v>
      </c>
      <c r="F72" s="194">
        <f>IF(ISNUMBER(SEARCH('Карта учёта'!$B$14,Расходка[[#This Row],[Наименование расходного материала]])),MAX($F$1:F71)+1,0)</f>
        <v>0</v>
      </c>
      <c r="G72" s="194">
        <f>IF(ISNUMBER(SEARCH('Карта учёта'!$B$15,Расходка[[#This Row],[Наименование расходного материала]])),MAX($G$1:G71)+1,0)</f>
        <v>0</v>
      </c>
      <c r="H72" s="194">
        <f>IF(ISNUMBER(SEARCH('Карта учёта'!$B$16,Расходка[[#This Row],[Наименование расходного материала]])),MAX($H$1:H71)+1,0)</f>
        <v>0</v>
      </c>
      <c r="I72" s="194">
        <f>IF(ISNUMBER(SEARCH('Карта учёта'!$B$17,Расходка[[#This Row],[Наименование расходного материала]])),MAX($I$1:I71)+1,0)</f>
        <v>0</v>
      </c>
      <c r="J72" s="194">
        <f>IF(ISNUMBER(SEARCH('Карта учёта'!$B$18,Расходка[[#This Row],[Наименование расходного материала]])),MAX($J$1:J71)+1,0)</f>
        <v>0</v>
      </c>
      <c r="K72" s="194">
        <f>IF(ISNUMBER(SEARCH('Карта учёта'!$B$19,Расходка[[#This Row],[Наименование расходного материала]])),MAX($K$1:K71)+1,0)</f>
        <v>71</v>
      </c>
      <c r="L72" s="194">
        <f>IF(ISNUMBER(SEARCH('Карта учёта'!$B$20,Расходка[[#This Row],[Наименование расходного материала]])),MAX($L$1:L71)+1,0)</f>
        <v>71</v>
      </c>
      <c r="M72" s="194">
        <f>IF(ISNUMBER(SEARCH('Карта учёта'!$B$21,Расходка[[#This Row],[Наименование расходного материала]])),MAX($M$1:M71)+1,0)</f>
        <v>71</v>
      </c>
      <c r="N72" s="194">
        <f>IF(ISNUMBER(SEARCH('Карта учёта'!$B$22,Расходка[[#This Row],[Наименование расходного материала]])),MAX($N$1:N71)+1,0)</f>
        <v>71</v>
      </c>
      <c r="O72" s="194">
        <f>IF(ISNUMBER(SEARCH('Карта учёта'!$B$23,Расходка[[#This Row],[Наименование расходного материала]])),MAX($O$1:O71)+1,0)</f>
        <v>71</v>
      </c>
      <c r="P72" s="194">
        <f>IF(ISNUMBER(SEARCH('Карта учёта'!$B$24,Расходка[[#This Row],[Наименование расходного материала]])),MAX($P$1:P71)+1,0)</f>
        <v>71</v>
      </c>
      <c r="Q72" s="194">
        <f>IF(ISNUMBER(SEARCH('Карта учёта'!$B$25,Расходка[[#This Row],[Наименование расходного материала]])),MAX($Q$1:Q71)+1,0)</f>
        <v>71</v>
      </c>
      <c r="R72" s="195" t="str">
        <f>IFERROR(INDEX(Расходка[Наименование расходного материала],MATCH(Расходка[[#This Row],[№]],Поиск_расходки[Индекс1],0)),"")</f>
        <v/>
      </c>
      <c r="S72" s="195" t="str">
        <f>IFERROR(INDEX(Расходка[Наименование расходного материала],MATCH(Расходка[[#This Row],[№]],Поиск_расходки[Индекс2],0)),"")</f>
        <v/>
      </c>
      <c r="T72" s="195" t="str">
        <f>IFERROR(INDEX(Расходка[Наименование расходного материала],MATCH(Расходка[[#This Row],[№]],Поиск_расходки[Индекс3],0)),"")</f>
        <v/>
      </c>
      <c r="U72" s="195" t="str">
        <f>IFERROR(INDEX(Расходка[Наименование расходного материала],MATCH(Расходка[[#This Row],[№]],Поиск_расходки[Индекс4],0)),"")</f>
        <v/>
      </c>
      <c r="V72" s="195" t="str">
        <f>IFERROR(INDEX(Расходка[Наименование расходного материала],MATCH(Расходка[[#This Row],[№]],Поиск_расходки[Индекс5],0)),"")</f>
        <v/>
      </c>
      <c r="W72" s="195" t="str">
        <f>IFERROR(INDEX(Расходка[Наименование расходного материала],MATCH(Расходка[[#This Row],[№]],Поиск_расходки[Индекс6],0)),"")</f>
        <v/>
      </c>
      <c r="X72" s="195" t="str">
        <f>IFERROR(INDEX(Расходка[Наименование расходного материала],MATCH(Расходка[[#This Row],[№]],Поиск_расходки[Индекс7],0)),"")</f>
        <v>Launcher 6F EBU 3.5</v>
      </c>
      <c r="Y72" s="195" t="str">
        <f>IFERROR(INDEX(Расходка[Наименование расходного материала],MATCH(Расходка[[#This Row],[№]],Поиск_расходки[Индекс8],0)),"")</f>
        <v>Launcher 6F EBU 3.5</v>
      </c>
      <c r="Z72" s="195" t="str">
        <f>IFERROR(INDEX(Расходка[Наименование расходного материала],MATCH(Расходка[[#This Row],[№]],Поиск_расходки[Индекс9],0)),"")</f>
        <v>Launcher 6F EBU 3.5</v>
      </c>
      <c r="AA72" s="195" t="str">
        <f>IFERROR(INDEX(Расходка[Наименование расходного материала],MATCH(Расходка[[#This Row],[№]],Поиск_расходки[Индекс10],0)),"")</f>
        <v>Launcher 6F EBU 3.5</v>
      </c>
      <c r="AB72" s="195" t="str">
        <f>IFERROR(INDEX(Расходка[Наименование расходного материала],MATCH(Расходка[[#This Row],[№]],Поиск_расходки[Индекс11],0)),"")</f>
        <v>Launcher 6F EBU 3.5</v>
      </c>
      <c r="AC72" s="195" t="str">
        <f>IFERROR(INDEX(Расходка[Наименование расходного материала],MATCH(Расходка[[#This Row],[№]],Поиск_расходки[Индекс12],0)),"")</f>
        <v>Launcher 6F EBU 3.5</v>
      </c>
      <c r="AD72" s="195" t="str">
        <f>IFERROR(INDEX(Расходка[Наименование расходного материала],MATCH(Расходка[[#This Row],[№]],Поиск_расходки[Индекс13],0)),"")</f>
        <v>Launcher 6F EBU 3.5</v>
      </c>
      <c r="AF72" s="4" t="s">
        <v>6</v>
      </c>
      <c r="AG72" s="4" t="s">
        <v>462</v>
      </c>
    </row>
    <row r="73" spans="1:33">
      <c r="A73">
        <f>ROW(Расходка[[#This Row],[Тип расходного материала ]])-1</f>
        <v>72</v>
      </c>
      <c r="B73" t="s">
        <v>4</v>
      </c>
      <c r="C73" t="s">
        <v>325</v>
      </c>
      <c r="E73" s="194">
        <f>IF(ISNUMBER(SEARCH('Карта учёта'!$B$13,Расходка[[#This Row],[Наименование расходного материала]])),MAX($E$1:E72)+1,0)</f>
        <v>0</v>
      </c>
      <c r="F73" s="194">
        <f>IF(ISNUMBER(SEARCH('Карта учёта'!$B$14,Расходка[[#This Row],[Наименование расходного материала]])),MAX($F$1:F72)+1,0)</f>
        <v>0</v>
      </c>
      <c r="G73" s="194">
        <f>IF(ISNUMBER(SEARCH('Карта учёта'!$B$15,Расходка[[#This Row],[Наименование расходного материала]])),MAX($G$1:G72)+1,0)</f>
        <v>0</v>
      </c>
      <c r="H73" s="194">
        <f>IF(ISNUMBER(SEARCH('Карта учёта'!$B$16,Расходка[[#This Row],[Наименование расходного материала]])),MAX($H$1:H72)+1,0)</f>
        <v>0</v>
      </c>
      <c r="I73" s="194">
        <f>IF(ISNUMBER(SEARCH('Карта учёта'!$B$17,Расходка[[#This Row],[Наименование расходного материала]])),MAX($I$1:I72)+1,0)</f>
        <v>0</v>
      </c>
      <c r="J73" s="194">
        <f>IF(ISNUMBER(SEARCH('Карта учёта'!$B$18,Расходка[[#This Row],[Наименование расходного материала]])),MAX($J$1:J72)+1,0)</f>
        <v>0</v>
      </c>
      <c r="K73" s="194">
        <f>IF(ISNUMBER(SEARCH('Карта учёта'!$B$19,Расходка[[#This Row],[Наименование расходного материала]])),MAX($K$1:K72)+1,0)</f>
        <v>72</v>
      </c>
      <c r="L73" s="194">
        <f>IF(ISNUMBER(SEARCH('Карта учёта'!$B$20,Расходка[[#This Row],[Наименование расходного материала]])),MAX($L$1:L72)+1,0)</f>
        <v>72</v>
      </c>
      <c r="M73" s="194">
        <f>IF(ISNUMBER(SEARCH('Карта учёта'!$B$21,Расходка[[#This Row],[Наименование расходного материала]])),MAX($M$1:M72)+1,0)</f>
        <v>72</v>
      </c>
      <c r="N73" s="194">
        <f>IF(ISNUMBER(SEARCH('Карта учёта'!$B$22,Расходка[[#This Row],[Наименование расходного материала]])),MAX($N$1:N72)+1,0)</f>
        <v>72</v>
      </c>
      <c r="O73" s="194">
        <f>IF(ISNUMBER(SEARCH('Карта учёта'!$B$23,Расходка[[#This Row],[Наименование расходного материала]])),MAX($O$1:O72)+1,0)</f>
        <v>72</v>
      </c>
      <c r="P73" s="194">
        <f>IF(ISNUMBER(SEARCH('Карта учёта'!$B$24,Расходка[[#This Row],[Наименование расходного материала]])),MAX($P$1:P72)+1,0)</f>
        <v>72</v>
      </c>
      <c r="Q73" s="194">
        <f>IF(ISNUMBER(SEARCH('Карта учёта'!$B$25,Расходка[[#This Row],[Наименование расходного материала]])),MAX($Q$1:Q72)+1,0)</f>
        <v>72</v>
      </c>
      <c r="R73" s="195" t="str">
        <f>IFERROR(INDEX(Расходка[Наименование расходного материала],MATCH(Расходка[[#This Row],[№]],Поиск_расходки[Индекс1],0)),"")</f>
        <v/>
      </c>
      <c r="S73" s="195" t="str">
        <f>IFERROR(INDEX(Расходка[Наименование расходного материала],MATCH(Расходка[[#This Row],[№]],Поиск_расходки[Индекс2],0)),"")</f>
        <v/>
      </c>
      <c r="T73" s="195" t="str">
        <f>IFERROR(INDEX(Расходка[Наименование расходного материала],MATCH(Расходка[[#This Row],[№]],Поиск_расходки[Индекс3],0)),"")</f>
        <v/>
      </c>
      <c r="U73" s="195" t="str">
        <f>IFERROR(INDEX(Расходка[Наименование расходного материала],MATCH(Расходка[[#This Row],[№]],Поиск_расходки[Индекс4],0)),"")</f>
        <v/>
      </c>
      <c r="V73" s="195" t="str">
        <f>IFERROR(INDEX(Расходка[Наименование расходного материала],MATCH(Расходка[[#This Row],[№]],Поиск_расходки[Индекс5],0)),"")</f>
        <v/>
      </c>
      <c r="W73" s="195" t="str">
        <f>IFERROR(INDEX(Расходка[Наименование расходного материала],MATCH(Расходка[[#This Row],[№]],Поиск_расходки[Индекс6],0)),"")</f>
        <v/>
      </c>
      <c r="X73" s="195" t="str">
        <f>IFERROR(INDEX(Расходка[Наименование расходного материала],MATCH(Расходка[[#This Row],[№]],Поиск_расходки[Индекс7],0)),"")</f>
        <v>Launcher 6F EBU 4.0</v>
      </c>
      <c r="Y73" s="195" t="str">
        <f>IFERROR(INDEX(Расходка[Наименование расходного материала],MATCH(Расходка[[#This Row],[№]],Поиск_расходки[Индекс8],0)),"")</f>
        <v>Launcher 6F EBU 4.0</v>
      </c>
      <c r="Z73" s="195" t="str">
        <f>IFERROR(INDEX(Расходка[Наименование расходного материала],MATCH(Расходка[[#This Row],[№]],Поиск_расходки[Индекс9],0)),"")</f>
        <v>Launcher 6F EBU 4.0</v>
      </c>
      <c r="AA73" s="195" t="str">
        <f>IFERROR(INDEX(Расходка[Наименование расходного материала],MATCH(Расходка[[#This Row],[№]],Поиск_расходки[Индекс10],0)),"")</f>
        <v>Launcher 6F EBU 4.0</v>
      </c>
      <c r="AB73" s="195" t="str">
        <f>IFERROR(INDEX(Расходка[Наименование расходного материала],MATCH(Расходка[[#This Row],[№]],Поиск_расходки[Индекс11],0)),"")</f>
        <v>Launcher 6F EBU 4.0</v>
      </c>
      <c r="AC73" s="195" t="str">
        <f>IFERROR(INDEX(Расходка[Наименование расходного материала],MATCH(Расходка[[#This Row],[№]],Поиск_расходки[Индекс12],0)),"")</f>
        <v>Launcher 6F EBU 4.0</v>
      </c>
      <c r="AD73" s="195" t="str">
        <f>IFERROR(INDEX(Расходка[Наименование расходного материала],MATCH(Расходка[[#This Row],[№]],Поиск_расходки[Индекс13],0)),"")</f>
        <v>Launcher 6F EBU 4.0</v>
      </c>
      <c r="AF73" s="4" t="s">
        <v>6</v>
      </c>
      <c r="AG73" s="4" t="s">
        <v>417</v>
      </c>
    </row>
    <row r="74" spans="1:33">
      <c r="A74">
        <f>ROW(Расходка[[#This Row],[Тип расходного материала ]])-1</f>
        <v>73</v>
      </c>
      <c r="B74" t="s">
        <v>4</v>
      </c>
      <c r="C74" t="s">
        <v>326</v>
      </c>
      <c r="E74" s="194">
        <f>IF(ISNUMBER(SEARCH('Карта учёта'!$B$13,Расходка[[#This Row],[Наименование расходного материала]])),MAX($E$1:E73)+1,0)</f>
        <v>0</v>
      </c>
      <c r="F74" s="194">
        <f>IF(ISNUMBER(SEARCH('Карта учёта'!$B$14,Расходка[[#This Row],[Наименование расходного материала]])),MAX($F$1:F73)+1,0)</f>
        <v>0</v>
      </c>
      <c r="G74" s="194">
        <f>IF(ISNUMBER(SEARCH('Карта учёта'!$B$15,Расходка[[#This Row],[Наименование расходного материала]])),MAX($G$1:G73)+1,0)</f>
        <v>0</v>
      </c>
      <c r="H74" s="194">
        <f>IF(ISNUMBER(SEARCH('Карта учёта'!$B$16,Расходка[[#This Row],[Наименование расходного материала]])),MAX($H$1:H73)+1,0)</f>
        <v>0</v>
      </c>
      <c r="I74" s="194">
        <f>IF(ISNUMBER(SEARCH('Карта учёта'!$B$17,Расходка[[#This Row],[Наименование расходного материала]])),MAX($I$1:I73)+1,0)</f>
        <v>0</v>
      </c>
      <c r="J74" s="194">
        <f>IF(ISNUMBER(SEARCH('Карта учёта'!$B$18,Расходка[[#This Row],[Наименование расходного материала]])),MAX($J$1:J73)+1,0)</f>
        <v>0</v>
      </c>
      <c r="K74" s="194">
        <f>IF(ISNUMBER(SEARCH('Карта учёта'!$B$19,Расходка[[#This Row],[Наименование расходного материала]])),MAX($K$1:K73)+1,0)</f>
        <v>73</v>
      </c>
      <c r="L74" s="194">
        <f>IF(ISNUMBER(SEARCH('Карта учёта'!$B$20,Расходка[[#This Row],[Наименование расходного материала]])),MAX($L$1:L73)+1,0)</f>
        <v>73</v>
      </c>
      <c r="M74" s="194">
        <f>IF(ISNUMBER(SEARCH('Карта учёта'!$B$21,Расходка[[#This Row],[Наименование расходного материала]])),MAX($M$1:M73)+1,0)</f>
        <v>73</v>
      </c>
      <c r="N74" s="194">
        <f>IF(ISNUMBER(SEARCH('Карта учёта'!$B$22,Расходка[[#This Row],[Наименование расходного материала]])),MAX($N$1:N73)+1,0)</f>
        <v>73</v>
      </c>
      <c r="O74" s="194">
        <f>IF(ISNUMBER(SEARCH('Карта учёта'!$B$23,Расходка[[#This Row],[Наименование расходного материала]])),MAX($O$1:O73)+1,0)</f>
        <v>73</v>
      </c>
      <c r="P74" s="194">
        <f>IF(ISNUMBER(SEARCH('Карта учёта'!$B$24,Расходка[[#This Row],[Наименование расходного материала]])),MAX($P$1:P73)+1,0)</f>
        <v>73</v>
      </c>
      <c r="Q74" s="194">
        <f>IF(ISNUMBER(SEARCH('Карта учёта'!$B$25,Расходка[[#This Row],[Наименование расходного материала]])),MAX($Q$1:Q73)+1,0)</f>
        <v>73</v>
      </c>
      <c r="R74" s="195" t="str">
        <f>IFERROR(INDEX(Расходка[Наименование расходного материала],MATCH(Расходка[[#This Row],[№]],Поиск_расходки[Индекс1],0)),"")</f>
        <v/>
      </c>
      <c r="S74" s="195" t="str">
        <f>IFERROR(INDEX(Расходка[Наименование расходного материала],MATCH(Расходка[[#This Row],[№]],Поиск_расходки[Индекс2],0)),"")</f>
        <v/>
      </c>
      <c r="T74" s="195" t="str">
        <f>IFERROR(INDEX(Расходка[Наименование расходного материала],MATCH(Расходка[[#This Row],[№]],Поиск_расходки[Индекс3],0)),"")</f>
        <v/>
      </c>
      <c r="U74" s="195" t="str">
        <f>IFERROR(INDEX(Расходка[Наименование расходного материала],MATCH(Расходка[[#This Row],[№]],Поиск_расходки[Индекс4],0)),"")</f>
        <v/>
      </c>
      <c r="V74" s="195" t="str">
        <f>IFERROR(INDEX(Расходка[Наименование расходного материала],MATCH(Расходка[[#This Row],[№]],Поиск_расходки[Индекс5],0)),"")</f>
        <v/>
      </c>
      <c r="W74" s="195" t="str">
        <f>IFERROR(INDEX(Расходка[Наименование расходного материала],MATCH(Расходка[[#This Row],[№]],Поиск_расходки[Индекс6],0)),"")</f>
        <v/>
      </c>
      <c r="X74" s="195" t="str">
        <f>IFERROR(INDEX(Расходка[Наименование расходного материала],MATCH(Расходка[[#This Row],[№]],Поиск_расходки[Индекс7],0)),"")</f>
        <v>Launcher 6F JL 3.5</v>
      </c>
      <c r="Y74" s="195" t="str">
        <f>IFERROR(INDEX(Расходка[Наименование расходного материала],MATCH(Расходка[[#This Row],[№]],Поиск_расходки[Индекс8],0)),"")</f>
        <v>Launcher 6F JL 3.5</v>
      </c>
      <c r="Z74" s="195" t="str">
        <f>IFERROR(INDEX(Расходка[Наименование расходного материала],MATCH(Расходка[[#This Row],[№]],Поиск_расходки[Индекс9],0)),"")</f>
        <v>Launcher 6F JL 3.5</v>
      </c>
      <c r="AA74" s="195" t="str">
        <f>IFERROR(INDEX(Расходка[Наименование расходного материала],MATCH(Расходка[[#This Row],[№]],Поиск_расходки[Индекс10],0)),"")</f>
        <v>Launcher 6F JL 3.5</v>
      </c>
      <c r="AB74" s="195" t="str">
        <f>IFERROR(INDEX(Расходка[Наименование расходного материала],MATCH(Расходка[[#This Row],[№]],Поиск_расходки[Индекс11],0)),"")</f>
        <v>Launcher 6F JL 3.5</v>
      </c>
      <c r="AC74" s="195" t="str">
        <f>IFERROR(INDEX(Расходка[Наименование расходного материала],MATCH(Расходка[[#This Row],[№]],Поиск_расходки[Индекс12],0)),"")</f>
        <v>Launcher 6F JL 3.5</v>
      </c>
      <c r="AD74" s="195" t="str">
        <f>IFERROR(INDEX(Расходка[Наименование расходного материала],MATCH(Расходка[[#This Row],[№]],Поиск_расходки[Индекс13],0)),"")</f>
        <v>Launcher 6F JL 3.5</v>
      </c>
      <c r="AF74" s="4" t="s">
        <v>6</v>
      </c>
      <c r="AG74" s="4" t="s">
        <v>463</v>
      </c>
    </row>
    <row r="75" spans="1:33">
      <c r="A75">
        <f>ROW(Расходка[[#This Row],[Тип расходного материала ]])-1</f>
        <v>74</v>
      </c>
      <c r="B75" t="s">
        <v>4</v>
      </c>
      <c r="C75" t="s">
        <v>327</v>
      </c>
      <c r="E75" s="194">
        <f>IF(ISNUMBER(SEARCH('Карта учёта'!$B$13,Расходка[[#This Row],[Наименование расходного материала]])),MAX($E$1:E74)+1,0)</f>
        <v>0</v>
      </c>
      <c r="F75" s="194">
        <f>IF(ISNUMBER(SEARCH('Карта учёта'!$B$14,Расходка[[#This Row],[Наименование расходного материала]])),MAX($F$1:F74)+1,0)</f>
        <v>0</v>
      </c>
      <c r="G75" s="194">
        <f>IF(ISNUMBER(SEARCH('Карта учёта'!$B$15,Расходка[[#This Row],[Наименование расходного материала]])),MAX($G$1:G74)+1,0)</f>
        <v>0</v>
      </c>
      <c r="H75" s="194">
        <f>IF(ISNUMBER(SEARCH('Карта учёта'!$B$16,Расходка[[#This Row],[Наименование расходного материала]])),MAX($H$1:H74)+1,0)</f>
        <v>0</v>
      </c>
      <c r="I75" s="194">
        <f>IF(ISNUMBER(SEARCH('Карта учёта'!$B$17,Расходка[[#This Row],[Наименование расходного материала]])),MAX($I$1:I74)+1,0)</f>
        <v>0</v>
      </c>
      <c r="J75" s="194">
        <f>IF(ISNUMBER(SEARCH('Карта учёта'!$B$18,Расходка[[#This Row],[Наименование расходного материала]])),MAX($J$1:J74)+1,0)</f>
        <v>0</v>
      </c>
      <c r="K75" s="194">
        <f>IF(ISNUMBER(SEARCH('Карта учёта'!$B$19,Расходка[[#This Row],[Наименование расходного материала]])),MAX($K$1:K74)+1,0)</f>
        <v>74</v>
      </c>
      <c r="L75" s="194">
        <f>IF(ISNUMBER(SEARCH('Карта учёта'!$B$20,Расходка[[#This Row],[Наименование расходного материала]])),MAX($L$1:L74)+1,0)</f>
        <v>74</v>
      </c>
      <c r="M75" s="194">
        <f>IF(ISNUMBER(SEARCH('Карта учёта'!$B$21,Расходка[[#This Row],[Наименование расходного материала]])),MAX($M$1:M74)+1,0)</f>
        <v>74</v>
      </c>
      <c r="N75" s="194">
        <f>IF(ISNUMBER(SEARCH('Карта учёта'!$B$22,Расходка[[#This Row],[Наименование расходного материала]])),MAX($N$1:N74)+1,0)</f>
        <v>74</v>
      </c>
      <c r="O75" s="194">
        <f>IF(ISNUMBER(SEARCH('Карта учёта'!$B$23,Расходка[[#This Row],[Наименование расходного материала]])),MAX($O$1:O74)+1,0)</f>
        <v>74</v>
      </c>
      <c r="P75" s="194">
        <f>IF(ISNUMBER(SEARCH('Карта учёта'!$B$24,Расходка[[#This Row],[Наименование расходного материала]])),MAX($P$1:P74)+1,0)</f>
        <v>74</v>
      </c>
      <c r="Q75" s="194">
        <f>IF(ISNUMBER(SEARCH('Карта учёта'!$B$25,Расходка[[#This Row],[Наименование расходного материала]])),MAX($Q$1:Q74)+1,0)</f>
        <v>74</v>
      </c>
      <c r="R75" s="195" t="str">
        <f>IFERROR(INDEX(Расходка[Наименование расходного материала],MATCH(Расходка[[#This Row],[№]],Поиск_расходки[Индекс1],0)),"")</f>
        <v/>
      </c>
      <c r="S75" s="195" t="str">
        <f>IFERROR(INDEX(Расходка[Наименование расходного материала],MATCH(Расходка[[#This Row],[№]],Поиск_расходки[Индекс2],0)),"")</f>
        <v/>
      </c>
      <c r="T75" s="195" t="str">
        <f>IFERROR(INDEX(Расходка[Наименование расходного материала],MATCH(Расходка[[#This Row],[№]],Поиск_расходки[Индекс3],0)),"")</f>
        <v/>
      </c>
      <c r="U75" s="195" t="str">
        <f>IFERROR(INDEX(Расходка[Наименование расходного материала],MATCH(Расходка[[#This Row],[№]],Поиск_расходки[Индекс4],0)),"")</f>
        <v/>
      </c>
      <c r="V75" s="195" t="str">
        <f>IFERROR(INDEX(Расходка[Наименование расходного материала],MATCH(Расходка[[#This Row],[№]],Поиск_расходки[Индекс5],0)),"")</f>
        <v/>
      </c>
      <c r="W75" s="195" t="str">
        <f>IFERROR(INDEX(Расходка[Наименование расходного материала],MATCH(Расходка[[#This Row],[№]],Поиск_расходки[Индекс6],0)),"")</f>
        <v/>
      </c>
      <c r="X75" s="195" t="str">
        <f>IFERROR(INDEX(Расходка[Наименование расходного материала],MATCH(Расходка[[#This Row],[№]],Поиск_расходки[Индекс7],0)),"")</f>
        <v>Launcher 6F JL 4.0</v>
      </c>
      <c r="Y75" s="195" t="str">
        <f>IFERROR(INDEX(Расходка[Наименование расходного материала],MATCH(Расходка[[#This Row],[№]],Поиск_расходки[Индекс8],0)),"")</f>
        <v>Launcher 6F JL 4.0</v>
      </c>
      <c r="Z75" s="195" t="str">
        <f>IFERROR(INDEX(Расходка[Наименование расходного материала],MATCH(Расходка[[#This Row],[№]],Поиск_расходки[Индекс9],0)),"")</f>
        <v>Launcher 6F JL 4.0</v>
      </c>
      <c r="AA75" s="195" t="str">
        <f>IFERROR(INDEX(Расходка[Наименование расходного материала],MATCH(Расходка[[#This Row],[№]],Поиск_расходки[Индекс10],0)),"")</f>
        <v>Launcher 6F JL 4.0</v>
      </c>
      <c r="AB75" s="195" t="str">
        <f>IFERROR(INDEX(Расходка[Наименование расходного материала],MATCH(Расходка[[#This Row],[№]],Поиск_расходки[Индекс11],0)),"")</f>
        <v>Launcher 6F JL 4.0</v>
      </c>
      <c r="AC75" s="195" t="str">
        <f>IFERROR(INDEX(Расходка[Наименование расходного материала],MATCH(Расходка[[#This Row],[№]],Поиск_расходки[Индекс12],0)),"")</f>
        <v>Launcher 6F JL 4.0</v>
      </c>
      <c r="AD75" s="195" t="str">
        <f>IFERROR(INDEX(Расходка[Наименование расходного материала],MATCH(Расходка[[#This Row],[№]],Поиск_расходки[Индекс13],0)),"")</f>
        <v>Launcher 6F JL 4.0</v>
      </c>
      <c r="AF75" s="4" t="s">
        <v>6</v>
      </c>
      <c r="AG75" s="4" t="s">
        <v>464</v>
      </c>
    </row>
    <row r="76" spans="1:33">
      <c r="A76">
        <f>ROW(Расходка[[#This Row],[Тип расходного материала ]])-1</f>
        <v>75</v>
      </c>
      <c r="B76" t="s">
        <v>4</v>
      </c>
      <c r="C76" t="s">
        <v>333</v>
      </c>
      <c r="E76" s="194">
        <f>IF(ISNUMBER(SEARCH('Карта учёта'!$B$13,Расходка[[#This Row],[Наименование расходного материала]])),MAX($E$1:E75)+1,0)</f>
        <v>0</v>
      </c>
      <c r="F76" s="194">
        <f>IF(ISNUMBER(SEARCH('Карта учёта'!$B$14,Расходка[[#This Row],[Наименование расходного материала]])),MAX($F$1:F75)+1,0)</f>
        <v>0</v>
      </c>
      <c r="G76" s="194">
        <f>IF(ISNUMBER(SEARCH('Карта учёта'!$B$15,Расходка[[#This Row],[Наименование расходного материала]])),MAX($G$1:G75)+1,0)</f>
        <v>0</v>
      </c>
      <c r="H76" s="194">
        <f>IF(ISNUMBER(SEARCH('Карта учёта'!$B$16,Расходка[[#This Row],[Наименование расходного материала]])),MAX($H$1:H75)+1,0)</f>
        <v>0</v>
      </c>
      <c r="I76" s="194">
        <f>IF(ISNUMBER(SEARCH('Карта учёта'!$B$17,Расходка[[#This Row],[Наименование расходного материала]])),MAX($I$1:I75)+1,0)</f>
        <v>0</v>
      </c>
      <c r="J76" s="194">
        <f>IF(ISNUMBER(SEARCH('Карта учёта'!$B$18,Расходка[[#This Row],[Наименование расходного материала]])),MAX($J$1:J75)+1,0)</f>
        <v>0</v>
      </c>
      <c r="K76" s="194">
        <f>IF(ISNUMBER(SEARCH('Карта учёта'!$B$19,Расходка[[#This Row],[Наименование расходного материала]])),MAX($K$1:K75)+1,0)</f>
        <v>75</v>
      </c>
      <c r="L76" s="194">
        <f>IF(ISNUMBER(SEARCH('Карта учёта'!$B$20,Расходка[[#This Row],[Наименование расходного материала]])),MAX($L$1:L75)+1,0)</f>
        <v>75</v>
      </c>
      <c r="M76" s="194">
        <f>IF(ISNUMBER(SEARCH('Карта учёта'!$B$21,Расходка[[#This Row],[Наименование расходного материала]])),MAX($M$1:M75)+1,0)</f>
        <v>75</v>
      </c>
      <c r="N76" s="194">
        <f>IF(ISNUMBER(SEARCH('Карта учёта'!$B$22,Расходка[[#This Row],[Наименование расходного материала]])),MAX($N$1:N75)+1,0)</f>
        <v>75</v>
      </c>
      <c r="O76" s="194">
        <f>IF(ISNUMBER(SEARCH('Карта учёта'!$B$23,Расходка[[#This Row],[Наименование расходного материала]])),MAX($O$1:O75)+1,0)</f>
        <v>75</v>
      </c>
      <c r="P76" s="194">
        <f>IF(ISNUMBER(SEARCH('Карта учёта'!$B$24,Расходка[[#This Row],[Наименование расходного материала]])),MAX($P$1:P75)+1,0)</f>
        <v>75</v>
      </c>
      <c r="Q76" s="194">
        <f>IF(ISNUMBER(SEARCH('Карта учёта'!$B$25,Расходка[[#This Row],[Наименование расходного материала]])),MAX($Q$1:Q75)+1,0)</f>
        <v>75</v>
      </c>
      <c r="R76" s="195" t="str">
        <f>IFERROR(INDEX(Расходка[Наименование расходного материала],MATCH(Расходка[[#This Row],[№]],Поиск_расходки[Индекс1],0)),"")</f>
        <v/>
      </c>
      <c r="S76" s="195" t="str">
        <f>IFERROR(INDEX(Расходка[Наименование расходного материала],MATCH(Расходка[[#This Row],[№]],Поиск_расходки[Индекс2],0)),"")</f>
        <v/>
      </c>
      <c r="T76" s="195" t="str">
        <f>IFERROR(INDEX(Расходка[Наименование расходного материала],MATCH(Расходка[[#This Row],[№]],Поиск_расходки[Индекс3],0)),"")</f>
        <v/>
      </c>
      <c r="U76" s="195" t="str">
        <f>IFERROR(INDEX(Расходка[Наименование расходного материала],MATCH(Расходка[[#This Row],[№]],Поиск_расходки[Индекс4],0)),"")</f>
        <v/>
      </c>
      <c r="V76" s="195" t="str">
        <f>IFERROR(INDEX(Расходка[Наименование расходного материала],MATCH(Расходка[[#This Row],[№]],Поиск_расходки[Индекс5],0)),"")</f>
        <v/>
      </c>
      <c r="W76" s="195" t="str">
        <f>IFERROR(INDEX(Расходка[Наименование расходного материала],MATCH(Расходка[[#This Row],[№]],Поиск_расходки[Индекс6],0)),"")</f>
        <v/>
      </c>
      <c r="X76" s="195" t="str">
        <f>IFERROR(INDEX(Расходка[Наименование расходного материала],MATCH(Расходка[[#This Row],[№]],Поиск_расходки[Индекс7],0)),"")</f>
        <v>Launcher 6F JL 4.5</v>
      </c>
      <c r="Y76" s="195" t="str">
        <f>IFERROR(INDEX(Расходка[Наименование расходного материала],MATCH(Расходка[[#This Row],[№]],Поиск_расходки[Индекс8],0)),"")</f>
        <v>Launcher 6F JL 4.5</v>
      </c>
      <c r="Z76" s="195" t="str">
        <f>IFERROR(INDEX(Расходка[Наименование расходного материала],MATCH(Расходка[[#This Row],[№]],Поиск_расходки[Индекс9],0)),"")</f>
        <v>Launcher 6F JL 4.5</v>
      </c>
      <c r="AA76" s="195" t="str">
        <f>IFERROR(INDEX(Расходка[Наименование расходного материала],MATCH(Расходка[[#This Row],[№]],Поиск_расходки[Индекс10],0)),"")</f>
        <v>Launcher 6F JL 4.5</v>
      </c>
      <c r="AB76" s="195" t="str">
        <f>IFERROR(INDEX(Расходка[Наименование расходного материала],MATCH(Расходка[[#This Row],[№]],Поиск_расходки[Индекс11],0)),"")</f>
        <v>Launcher 6F JL 4.5</v>
      </c>
      <c r="AC76" s="195" t="str">
        <f>IFERROR(INDEX(Расходка[Наименование расходного материала],MATCH(Расходка[[#This Row],[№]],Поиск_расходки[Индекс12],0)),"")</f>
        <v>Launcher 6F JL 4.5</v>
      </c>
      <c r="AD76" s="195" t="str">
        <f>IFERROR(INDEX(Расходка[Наименование расходного материала],MATCH(Расходка[[#This Row],[№]],Поиск_расходки[Индекс13],0)),"")</f>
        <v>Launcher 6F JL 4.5</v>
      </c>
      <c r="AF76" s="4" t="s">
        <v>6</v>
      </c>
      <c r="AG76" s="4" t="s">
        <v>465</v>
      </c>
    </row>
    <row r="77" spans="1:33">
      <c r="A77">
        <f>ROW(Расходка[[#This Row],[Тип расходного материала ]])-1</f>
        <v>76</v>
      </c>
      <c r="B77" t="s">
        <v>4</v>
      </c>
      <c r="C77" t="s">
        <v>328</v>
      </c>
      <c r="E77" s="194">
        <f>IF(ISNUMBER(SEARCH('Карта учёта'!$B$13,Расходка[[#This Row],[Наименование расходного материала]])),MAX($E$1:E76)+1,0)</f>
        <v>0</v>
      </c>
      <c r="F77" s="194">
        <f>IF(ISNUMBER(SEARCH('Карта учёта'!$B$14,Расходка[[#This Row],[Наименование расходного материала]])),MAX($F$1:F76)+1,0)</f>
        <v>0</v>
      </c>
      <c r="G77" s="194">
        <f>IF(ISNUMBER(SEARCH('Карта учёта'!$B$15,Расходка[[#This Row],[Наименование расходного материала]])),MAX($G$1:G76)+1,0)</f>
        <v>0</v>
      </c>
      <c r="H77" s="194">
        <f>IF(ISNUMBER(SEARCH('Карта учёта'!$B$16,Расходка[[#This Row],[Наименование расходного материала]])),MAX($H$1:H76)+1,0)</f>
        <v>0</v>
      </c>
      <c r="I77" s="194">
        <f>IF(ISNUMBER(SEARCH('Карта учёта'!$B$17,Расходка[[#This Row],[Наименование расходного материала]])),MAX($I$1:I76)+1,0)</f>
        <v>0</v>
      </c>
      <c r="J77" s="194">
        <f>IF(ISNUMBER(SEARCH('Карта учёта'!$B$18,Расходка[[#This Row],[Наименование расходного материала]])),MAX($J$1:J76)+1,0)</f>
        <v>0</v>
      </c>
      <c r="K77" s="194">
        <f>IF(ISNUMBER(SEARCH('Карта учёта'!$B$19,Расходка[[#This Row],[Наименование расходного материала]])),MAX($K$1:K76)+1,0)</f>
        <v>76</v>
      </c>
      <c r="L77" s="194">
        <f>IF(ISNUMBER(SEARCH('Карта учёта'!$B$20,Расходка[[#This Row],[Наименование расходного материала]])),MAX($L$1:L76)+1,0)</f>
        <v>76</v>
      </c>
      <c r="M77" s="194">
        <f>IF(ISNUMBER(SEARCH('Карта учёта'!$B$21,Расходка[[#This Row],[Наименование расходного материала]])),MAX($M$1:M76)+1,0)</f>
        <v>76</v>
      </c>
      <c r="N77" s="194">
        <f>IF(ISNUMBER(SEARCH('Карта учёта'!$B$22,Расходка[[#This Row],[Наименование расходного материала]])),MAX($N$1:N76)+1,0)</f>
        <v>76</v>
      </c>
      <c r="O77" s="194">
        <f>IF(ISNUMBER(SEARCH('Карта учёта'!$B$23,Расходка[[#This Row],[Наименование расходного материала]])),MAX($O$1:O76)+1,0)</f>
        <v>76</v>
      </c>
      <c r="P77" s="194">
        <f>IF(ISNUMBER(SEARCH('Карта учёта'!$B$24,Расходка[[#This Row],[Наименование расходного материала]])),MAX($P$1:P76)+1,0)</f>
        <v>76</v>
      </c>
      <c r="Q77" s="194">
        <f>IF(ISNUMBER(SEARCH('Карта учёта'!$B$25,Расходка[[#This Row],[Наименование расходного материала]])),MAX($Q$1:Q76)+1,0)</f>
        <v>76</v>
      </c>
      <c r="R77" s="195" t="str">
        <f>IFERROR(INDEX(Расходка[Наименование расходного материала],MATCH(Расходка[[#This Row],[№]],Поиск_расходки[Индекс1],0)),"")</f>
        <v/>
      </c>
      <c r="S77" s="195" t="str">
        <f>IFERROR(INDEX(Расходка[Наименование расходного материала],MATCH(Расходка[[#This Row],[№]],Поиск_расходки[Индекс2],0)),"")</f>
        <v/>
      </c>
      <c r="T77" s="195" t="str">
        <f>IFERROR(INDEX(Расходка[Наименование расходного материала],MATCH(Расходка[[#This Row],[№]],Поиск_расходки[Индекс3],0)),"")</f>
        <v/>
      </c>
      <c r="U77" s="195" t="str">
        <f>IFERROR(INDEX(Расходка[Наименование расходного материала],MATCH(Расходка[[#This Row],[№]],Поиск_расходки[Индекс4],0)),"")</f>
        <v/>
      </c>
      <c r="V77" s="195" t="str">
        <f>IFERROR(INDEX(Расходка[Наименование расходного материала],MATCH(Расходка[[#This Row],[№]],Поиск_расходки[Индекс5],0)),"")</f>
        <v/>
      </c>
      <c r="W77" s="195" t="str">
        <f>IFERROR(INDEX(Расходка[Наименование расходного материала],MATCH(Расходка[[#This Row],[№]],Поиск_расходки[Индекс6],0)),"")</f>
        <v/>
      </c>
      <c r="X77" s="195" t="str">
        <f>IFERROR(INDEX(Расходка[Наименование расходного материала],MATCH(Расходка[[#This Row],[№]],Поиск_расходки[Индекс7],0)),"")</f>
        <v>Launcher 6F JR 3.5</v>
      </c>
      <c r="Y77" s="195" t="str">
        <f>IFERROR(INDEX(Расходка[Наименование расходного материала],MATCH(Расходка[[#This Row],[№]],Поиск_расходки[Индекс8],0)),"")</f>
        <v>Launcher 6F JR 3.5</v>
      </c>
      <c r="Z77" s="195" t="str">
        <f>IFERROR(INDEX(Расходка[Наименование расходного материала],MATCH(Расходка[[#This Row],[№]],Поиск_расходки[Индекс9],0)),"")</f>
        <v>Launcher 6F JR 3.5</v>
      </c>
      <c r="AA77" s="195" t="str">
        <f>IFERROR(INDEX(Расходка[Наименование расходного материала],MATCH(Расходка[[#This Row],[№]],Поиск_расходки[Индекс10],0)),"")</f>
        <v>Launcher 6F JR 3.5</v>
      </c>
      <c r="AB77" s="195" t="str">
        <f>IFERROR(INDEX(Расходка[Наименование расходного материала],MATCH(Расходка[[#This Row],[№]],Поиск_расходки[Индекс11],0)),"")</f>
        <v>Launcher 6F JR 3.5</v>
      </c>
      <c r="AC77" s="195" t="str">
        <f>IFERROR(INDEX(Расходка[Наименование расходного материала],MATCH(Расходка[[#This Row],[№]],Поиск_расходки[Индекс12],0)),"")</f>
        <v>Launcher 6F JR 3.5</v>
      </c>
      <c r="AD77" s="195" t="str">
        <f>IFERROR(INDEX(Расходка[Наименование расходного материала],MATCH(Расходка[[#This Row],[№]],Поиск_расходки[Индекс13],0)),"")</f>
        <v>Launcher 6F JR 3.5</v>
      </c>
      <c r="AF77" s="4" t="s">
        <v>6</v>
      </c>
      <c r="AG77" s="4" t="s">
        <v>466</v>
      </c>
    </row>
    <row r="78" spans="1:33">
      <c r="A78">
        <f>ROW(Расходка[[#This Row],[Тип расходного материала ]])-1</f>
        <v>77</v>
      </c>
      <c r="B78" t="s">
        <v>4</v>
      </c>
      <c r="C78" t="s">
        <v>329</v>
      </c>
      <c r="E78" s="194">
        <f>IF(ISNUMBER(SEARCH('Карта учёта'!$B$13,Расходка[[#This Row],[Наименование расходного материала]])),MAX($E$1:E77)+1,0)</f>
        <v>0</v>
      </c>
      <c r="F78" s="194">
        <f>IF(ISNUMBER(SEARCH('Карта учёта'!$B$14,Расходка[[#This Row],[Наименование расходного материала]])),MAX($F$1:F77)+1,0)</f>
        <v>1</v>
      </c>
      <c r="G78" s="194">
        <f>IF(ISNUMBER(SEARCH('Карта учёта'!$B$15,Расходка[[#This Row],[Наименование расходного материала]])),MAX($G$1:G77)+1,0)</f>
        <v>0</v>
      </c>
      <c r="H78" s="194">
        <f>IF(ISNUMBER(SEARCH('Карта учёта'!$B$16,Расходка[[#This Row],[Наименование расходного материала]])),MAX($H$1:H77)+1,0)</f>
        <v>0</v>
      </c>
      <c r="I78" s="194">
        <f>IF(ISNUMBER(SEARCH('Карта учёта'!$B$17,Расходка[[#This Row],[Наименование расходного материала]])),MAX($I$1:I77)+1,0)</f>
        <v>0</v>
      </c>
      <c r="J78" s="194">
        <f>IF(ISNUMBER(SEARCH('Карта учёта'!$B$18,Расходка[[#This Row],[Наименование расходного материала]])),MAX($J$1:J77)+1,0)</f>
        <v>0</v>
      </c>
      <c r="K78" s="194">
        <f>IF(ISNUMBER(SEARCH('Карта учёта'!$B$19,Расходка[[#This Row],[Наименование расходного материала]])),MAX($K$1:K77)+1,0)</f>
        <v>77</v>
      </c>
      <c r="L78" s="194">
        <f>IF(ISNUMBER(SEARCH('Карта учёта'!$B$20,Расходка[[#This Row],[Наименование расходного материала]])),MAX($L$1:L77)+1,0)</f>
        <v>77</v>
      </c>
      <c r="M78" s="194">
        <f>IF(ISNUMBER(SEARCH('Карта учёта'!$B$21,Расходка[[#This Row],[Наименование расходного материала]])),MAX($M$1:M77)+1,0)</f>
        <v>77</v>
      </c>
      <c r="N78" s="194">
        <f>IF(ISNUMBER(SEARCH('Карта учёта'!$B$22,Расходка[[#This Row],[Наименование расходного материала]])),MAX($N$1:N77)+1,0)</f>
        <v>77</v>
      </c>
      <c r="O78" s="194">
        <f>IF(ISNUMBER(SEARCH('Карта учёта'!$B$23,Расходка[[#This Row],[Наименование расходного материала]])),MAX($O$1:O77)+1,0)</f>
        <v>77</v>
      </c>
      <c r="P78" s="194">
        <f>IF(ISNUMBER(SEARCH('Карта учёта'!$B$24,Расходка[[#This Row],[Наименование расходного материала]])),MAX($P$1:P77)+1,0)</f>
        <v>77</v>
      </c>
      <c r="Q78" s="194">
        <f>IF(ISNUMBER(SEARCH('Карта учёта'!$B$25,Расходка[[#This Row],[Наименование расходного материала]])),MAX($Q$1:Q77)+1,0)</f>
        <v>77</v>
      </c>
      <c r="R78" s="195" t="str">
        <f>IFERROR(INDEX(Расходка[Наименование расходного материала],MATCH(Расходка[[#This Row],[№]],Поиск_расходки[Индекс1],0)),"")</f>
        <v/>
      </c>
      <c r="S78" s="195" t="str">
        <f>IFERROR(INDEX(Расходка[Наименование расходного материала],MATCH(Расходка[[#This Row],[№]],Поиск_расходки[Индекс2],0)),"")</f>
        <v/>
      </c>
      <c r="T78" s="195" t="str">
        <f>IFERROR(INDEX(Расходка[Наименование расходного материала],MATCH(Расходка[[#This Row],[№]],Поиск_расходки[Индекс3],0)),"")</f>
        <v/>
      </c>
      <c r="U78" s="195" t="str">
        <f>IFERROR(INDEX(Расходка[Наименование расходного материала],MATCH(Расходка[[#This Row],[№]],Поиск_расходки[Индекс4],0)),"")</f>
        <v/>
      </c>
      <c r="V78" s="195" t="str">
        <f>IFERROR(INDEX(Расходка[Наименование расходного материала],MATCH(Расходка[[#This Row],[№]],Поиск_расходки[Индекс5],0)),"")</f>
        <v/>
      </c>
      <c r="W78" s="195" t="str">
        <f>IFERROR(INDEX(Расходка[Наименование расходного материала],MATCH(Расходка[[#This Row],[№]],Поиск_расходки[Индекс6],0)),"")</f>
        <v/>
      </c>
      <c r="X78" s="195" t="str">
        <f>IFERROR(INDEX(Расходка[Наименование расходного материала],MATCH(Расходка[[#This Row],[№]],Поиск_расходки[Индекс7],0)),"")</f>
        <v>Launcher 6F JR 4.0</v>
      </c>
      <c r="Y78" s="195" t="str">
        <f>IFERROR(INDEX(Расходка[Наименование расходного материала],MATCH(Расходка[[#This Row],[№]],Поиск_расходки[Индекс8],0)),"")</f>
        <v>Launcher 6F JR 4.0</v>
      </c>
      <c r="Z78" s="195" t="str">
        <f>IFERROR(INDEX(Расходка[Наименование расходного материала],MATCH(Расходка[[#This Row],[№]],Поиск_расходки[Индекс9],0)),"")</f>
        <v>Launcher 6F JR 4.0</v>
      </c>
      <c r="AA78" s="195" t="str">
        <f>IFERROR(INDEX(Расходка[Наименование расходного материала],MATCH(Расходка[[#This Row],[№]],Поиск_расходки[Индекс10],0)),"")</f>
        <v>Launcher 6F JR 4.0</v>
      </c>
      <c r="AB78" s="195" t="str">
        <f>IFERROR(INDEX(Расходка[Наименование расходного материала],MATCH(Расходка[[#This Row],[№]],Поиск_расходки[Индекс11],0)),"")</f>
        <v>Launcher 6F JR 4.0</v>
      </c>
      <c r="AC78" s="195" t="str">
        <f>IFERROR(INDEX(Расходка[Наименование расходного материала],MATCH(Расходка[[#This Row],[№]],Поиск_расходки[Индекс12],0)),"")</f>
        <v>Launcher 6F JR 4.0</v>
      </c>
      <c r="AD78" s="195" t="str">
        <f>IFERROR(INDEX(Расходка[Наименование расходного материала],MATCH(Расходка[[#This Row],[№]],Поиск_расходки[Индекс13],0)),"")</f>
        <v>Launcher 6F JR 4.0</v>
      </c>
      <c r="AF78" s="4" t="s">
        <v>6</v>
      </c>
      <c r="AG78" s="4" t="s">
        <v>467</v>
      </c>
    </row>
    <row r="79" spans="1:33">
      <c r="A79">
        <f>ROW(Расходка[[#This Row],[Тип расходного материала ]])-1</f>
        <v>78</v>
      </c>
      <c r="B79" t="s">
        <v>4</v>
      </c>
      <c r="C79" t="s">
        <v>339</v>
      </c>
      <c r="E79" s="194">
        <f>IF(ISNUMBER(SEARCH('Карта учёта'!$B$13,Расходка[[#This Row],[Наименование расходного материала]])),MAX($E$1:E78)+1,0)</f>
        <v>0</v>
      </c>
      <c r="F79" s="194">
        <f>IF(ISNUMBER(SEARCH('Карта учёта'!$B$14,Расходка[[#This Row],[Наименование расходного материала]])),MAX($F$1:F78)+1,0)</f>
        <v>0</v>
      </c>
      <c r="G79" s="194">
        <f>IF(ISNUMBER(SEARCH('Карта учёта'!$B$15,Расходка[[#This Row],[Наименование расходного материала]])),MAX($G$1:G78)+1,0)</f>
        <v>0</v>
      </c>
      <c r="H79" s="194">
        <f>IF(ISNUMBER(SEARCH('Карта учёта'!$B$16,Расходка[[#This Row],[Наименование расходного материала]])),MAX($H$1:H78)+1,0)</f>
        <v>0</v>
      </c>
      <c r="I79" s="194">
        <f>IF(ISNUMBER(SEARCH('Карта учёта'!$B$17,Расходка[[#This Row],[Наименование расходного материала]])),MAX($I$1:I78)+1,0)</f>
        <v>0</v>
      </c>
      <c r="J79" s="194">
        <f>IF(ISNUMBER(SEARCH('Карта учёта'!$B$18,Расходка[[#This Row],[Наименование расходного материала]])),MAX($J$1:J78)+1,0)</f>
        <v>0</v>
      </c>
      <c r="K79" s="194">
        <f>IF(ISNUMBER(SEARCH('Карта учёта'!$B$19,Расходка[[#This Row],[Наименование расходного материала]])),MAX($K$1:K78)+1,0)</f>
        <v>78</v>
      </c>
      <c r="L79" s="194">
        <f>IF(ISNUMBER(SEARCH('Карта учёта'!$B$20,Расходка[[#This Row],[Наименование расходного материала]])),MAX($L$1:L78)+1,0)</f>
        <v>78</v>
      </c>
      <c r="M79" s="194">
        <f>IF(ISNUMBER(SEARCH('Карта учёта'!$B$21,Расходка[[#This Row],[Наименование расходного материала]])),MAX($M$1:M78)+1,0)</f>
        <v>78</v>
      </c>
      <c r="N79" s="194">
        <f>IF(ISNUMBER(SEARCH('Карта учёта'!$B$22,Расходка[[#This Row],[Наименование расходного материала]])),MAX($N$1:N78)+1,0)</f>
        <v>78</v>
      </c>
      <c r="O79" s="194">
        <f>IF(ISNUMBER(SEARCH('Карта учёта'!$B$23,Расходка[[#This Row],[Наименование расходного материала]])),MAX($O$1:O78)+1,0)</f>
        <v>78</v>
      </c>
      <c r="P79" s="194">
        <f>IF(ISNUMBER(SEARCH('Карта учёта'!$B$24,Расходка[[#This Row],[Наименование расходного материала]])),MAX($P$1:P78)+1,0)</f>
        <v>78</v>
      </c>
      <c r="Q79" s="194">
        <f>IF(ISNUMBER(SEARCH('Карта учёта'!$B$25,Расходка[[#This Row],[Наименование расходного материала]])),MAX($Q$1:Q78)+1,0)</f>
        <v>78</v>
      </c>
      <c r="R79" s="195" t="str">
        <f>IFERROR(INDEX(Расходка[Наименование расходного материала],MATCH(Расходка[[#This Row],[№]],Поиск_расходки[Индекс1],0)),"")</f>
        <v/>
      </c>
      <c r="S79" s="195" t="str">
        <f>IFERROR(INDEX(Расходка[Наименование расходного материала],MATCH(Расходка[[#This Row],[№]],Поиск_расходки[Индекс2],0)),"")</f>
        <v/>
      </c>
      <c r="T79" s="195" t="str">
        <f>IFERROR(INDEX(Расходка[Наименование расходного материала],MATCH(Расходка[[#This Row],[№]],Поиск_расходки[Индекс3],0)),"")</f>
        <v/>
      </c>
      <c r="U79" s="195" t="str">
        <f>IFERROR(INDEX(Расходка[Наименование расходного материала],MATCH(Расходка[[#This Row],[№]],Поиск_расходки[Индекс4],0)),"")</f>
        <v/>
      </c>
      <c r="V79" s="195" t="str">
        <f>IFERROR(INDEX(Расходка[Наименование расходного материала],MATCH(Расходка[[#This Row],[№]],Поиск_расходки[Индекс5],0)),"")</f>
        <v/>
      </c>
      <c r="W79" s="195" t="str">
        <f>IFERROR(INDEX(Расходка[Наименование расходного материала],MATCH(Расходка[[#This Row],[№]],Поиск_расходки[Индекс6],0)),"")</f>
        <v/>
      </c>
      <c r="X79" s="195" t="str">
        <f>IFERROR(INDEX(Расходка[Наименование расходного материала],MATCH(Расходка[[#This Row],[№]],Поиск_расходки[Индекс7],0)),"")</f>
        <v>Launcher 7F JL 3.5</v>
      </c>
      <c r="Y79" s="195" t="str">
        <f>IFERROR(INDEX(Расходка[Наименование расходного материала],MATCH(Расходка[[#This Row],[№]],Поиск_расходки[Индекс8],0)),"")</f>
        <v>Launcher 7F JL 3.5</v>
      </c>
      <c r="Z79" s="195" t="str">
        <f>IFERROR(INDEX(Расходка[Наименование расходного материала],MATCH(Расходка[[#This Row],[№]],Поиск_расходки[Индекс9],0)),"")</f>
        <v>Launcher 7F JL 3.5</v>
      </c>
      <c r="AA79" s="195" t="str">
        <f>IFERROR(INDEX(Расходка[Наименование расходного материала],MATCH(Расходка[[#This Row],[№]],Поиск_расходки[Индекс10],0)),"")</f>
        <v>Launcher 7F JL 3.5</v>
      </c>
      <c r="AB79" s="195" t="str">
        <f>IFERROR(INDEX(Расходка[Наименование расходного материала],MATCH(Расходка[[#This Row],[№]],Поиск_расходки[Индекс11],0)),"")</f>
        <v>Launcher 7F JL 3.5</v>
      </c>
      <c r="AC79" s="195" t="str">
        <f>IFERROR(INDEX(Расходка[Наименование расходного материала],MATCH(Расходка[[#This Row],[№]],Поиск_расходки[Индекс12],0)),"")</f>
        <v>Launcher 7F JL 3.5</v>
      </c>
      <c r="AD79" s="195" t="str">
        <f>IFERROR(INDEX(Расходка[Наименование расходного материала],MATCH(Расходка[[#This Row],[№]],Поиск_расходки[Индекс13],0)),"")</f>
        <v>Launcher 7F JL 3.5</v>
      </c>
      <c r="AF79" s="4" t="s">
        <v>6</v>
      </c>
      <c r="AG79" s="4" t="s">
        <v>468</v>
      </c>
    </row>
    <row r="80" spans="1:33">
      <c r="A80">
        <f>ROW(Расходка[[#This Row],[Тип расходного материала ]])-1</f>
        <v>79</v>
      </c>
      <c r="B80" t="s">
        <v>4</v>
      </c>
      <c r="C80" t="s">
        <v>338</v>
      </c>
      <c r="E80" s="194">
        <f>IF(ISNUMBER(SEARCH('Карта учёта'!$B$13,Расходка[[#This Row],[Наименование расходного материала]])),MAX($E$1:E79)+1,0)</f>
        <v>0</v>
      </c>
      <c r="F80" s="194">
        <f>IF(ISNUMBER(SEARCH('Карта учёта'!$B$14,Расходка[[#This Row],[Наименование расходного материала]])),MAX($F$1:F79)+1,0)</f>
        <v>0</v>
      </c>
      <c r="G80" s="194">
        <f>IF(ISNUMBER(SEARCH('Карта учёта'!$B$15,Расходка[[#This Row],[Наименование расходного материала]])),MAX($G$1:G79)+1,0)</f>
        <v>0</v>
      </c>
      <c r="H80" s="194">
        <f>IF(ISNUMBER(SEARCH('Карта учёта'!$B$16,Расходка[[#This Row],[Наименование расходного материала]])),MAX($H$1:H79)+1,0)</f>
        <v>0</v>
      </c>
      <c r="I80" s="194">
        <f>IF(ISNUMBER(SEARCH('Карта учёта'!$B$17,Расходка[[#This Row],[Наименование расходного материала]])),MAX($I$1:I79)+1,0)</f>
        <v>0</v>
      </c>
      <c r="J80" s="194">
        <f>IF(ISNUMBER(SEARCH('Карта учёта'!$B$18,Расходка[[#This Row],[Наименование расходного материала]])),MAX($J$1:J79)+1,0)</f>
        <v>0</v>
      </c>
      <c r="K80" s="194">
        <f>IF(ISNUMBER(SEARCH('Карта учёта'!$B$19,Расходка[[#This Row],[Наименование расходного материала]])),MAX($K$1:K79)+1,0)</f>
        <v>79</v>
      </c>
      <c r="L80" s="194">
        <f>IF(ISNUMBER(SEARCH('Карта учёта'!$B$20,Расходка[[#This Row],[Наименование расходного материала]])),MAX($L$1:L79)+1,0)</f>
        <v>79</v>
      </c>
      <c r="M80" s="194">
        <f>IF(ISNUMBER(SEARCH('Карта учёта'!$B$21,Расходка[[#This Row],[Наименование расходного материала]])),MAX($M$1:M79)+1,0)</f>
        <v>79</v>
      </c>
      <c r="N80" s="194">
        <f>IF(ISNUMBER(SEARCH('Карта учёта'!$B$22,Расходка[[#This Row],[Наименование расходного материала]])),MAX($N$1:N79)+1,0)</f>
        <v>79</v>
      </c>
      <c r="O80" s="194">
        <f>IF(ISNUMBER(SEARCH('Карта учёта'!$B$23,Расходка[[#This Row],[Наименование расходного материала]])),MAX($O$1:O79)+1,0)</f>
        <v>79</v>
      </c>
      <c r="P80" s="194">
        <f>IF(ISNUMBER(SEARCH('Карта учёта'!$B$24,Расходка[[#This Row],[Наименование расходного материала]])),MAX($P$1:P79)+1,0)</f>
        <v>79</v>
      </c>
      <c r="Q80" s="194">
        <f>IF(ISNUMBER(SEARCH('Карта учёта'!$B$25,Расходка[[#This Row],[Наименование расходного материала]])),MAX($Q$1:Q79)+1,0)</f>
        <v>79</v>
      </c>
      <c r="R80" s="195" t="str">
        <f>IFERROR(INDEX(Расходка[Наименование расходного материала],MATCH(Расходка[[#This Row],[№]],Поиск_расходки[Индекс1],0)),"")</f>
        <v/>
      </c>
      <c r="S80" s="195" t="str">
        <f>IFERROR(INDEX(Расходка[Наименование расходного материала],MATCH(Расходка[[#This Row],[№]],Поиск_расходки[Индекс2],0)),"")</f>
        <v/>
      </c>
      <c r="T80" s="195" t="str">
        <f>IFERROR(INDEX(Расходка[Наименование расходного материала],MATCH(Расходка[[#This Row],[№]],Поиск_расходки[Индекс3],0)),"")</f>
        <v/>
      </c>
      <c r="U80" s="195" t="str">
        <f>IFERROR(INDEX(Расходка[Наименование расходного материала],MATCH(Расходка[[#This Row],[№]],Поиск_расходки[Индекс4],0)),"")</f>
        <v/>
      </c>
      <c r="V80" s="195" t="str">
        <f>IFERROR(INDEX(Расходка[Наименование расходного материала],MATCH(Расходка[[#This Row],[№]],Поиск_расходки[Индекс5],0)),"")</f>
        <v/>
      </c>
      <c r="W80" s="195" t="str">
        <f>IFERROR(INDEX(Расходка[Наименование расходного материала],MATCH(Расходка[[#This Row],[№]],Поиск_расходки[Индекс6],0)),"")</f>
        <v/>
      </c>
      <c r="X80" s="195" t="str">
        <f>IFERROR(INDEX(Расходка[Наименование расходного материала],MATCH(Расходка[[#This Row],[№]],Поиск_расходки[Индекс7],0)),"")</f>
        <v>Launcher 7F JL 4.0</v>
      </c>
      <c r="Y80" s="195" t="str">
        <f>IFERROR(INDEX(Расходка[Наименование расходного материала],MATCH(Расходка[[#This Row],[№]],Поиск_расходки[Индекс8],0)),"")</f>
        <v>Launcher 7F JL 4.0</v>
      </c>
      <c r="Z80" s="195" t="str">
        <f>IFERROR(INDEX(Расходка[Наименование расходного материала],MATCH(Расходка[[#This Row],[№]],Поиск_расходки[Индекс9],0)),"")</f>
        <v>Launcher 7F JL 4.0</v>
      </c>
      <c r="AA80" s="195" t="str">
        <f>IFERROR(INDEX(Расходка[Наименование расходного материала],MATCH(Расходка[[#This Row],[№]],Поиск_расходки[Индекс10],0)),"")</f>
        <v>Launcher 7F JL 4.0</v>
      </c>
      <c r="AB80" s="195" t="str">
        <f>IFERROR(INDEX(Расходка[Наименование расходного материала],MATCH(Расходка[[#This Row],[№]],Поиск_расходки[Индекс11],0)),"")</f>
        <v>Launcher 7F JL 4.0</v>
      </c>
      <c r="AC80" s="195" t="str">
        <f>IFERROR(INDEX(Расходка[Наименование расходного материала],MATCH(Расходка[[#This Row],[№]],Поиск_расходки[Индекс12],0)),"")</f>
        <v>Launcher 7F JL 4.0</v>
      </c>
      <c r="AD80" s="195" t="str">
        <f>IFERROR(INDEX(Расходка[Наименование расходного материала],MATCH(Расходка[[#This Row],[№]],Поиск_расходки[Индекс13],0)),"")</f>
        <v>Launcher 7F JL 4.0</v>
      </c>
      <c r="AF80" s="4" t="s">
        <v>6</v>
      </c>
      <c r="AG80" s="4" t="s">
        <v>469</v>
      </c>
    </row>
    <row r="81" spans="1:33">
      <c r="A81">
        <f>ROW(Расходка[[#This Row],[Тип расходного материала ]])-1</f>
        <v>80</v>
      </c>
      <c r="B81" t="s">
        <v>301</v>
      </c>
      <c r="C81" s="1" t="s">
        <v>330</v>
      </c>
      <c r="E81" s="194">
        <f>IF(ISNUMBER(SEARCH('Карта учёта'!$B$13,Расходка[[#This Row],[Наименование расходного материала]])),MAX($E$1:E80)+1,0)</f>
        <v>0</v>
      </c>
      <c r="F81" s="194">
        <f>IF(ISNUMBER(SEARCH('Карта учёта'!$B$14,Расходка[[#This Row],[Наименование расходного материала]])),MAX($F$1:F80)+1,0)</f>
        <v>0</v>
      </c>
      <c r="G81" s="194">
        <f>IF(ISNUMBER(SEARCH('Карта учёта'!$B$15,Расходка[[#This Row],[Наименование расходного материала]])),MAX($G$1:G80)+1,0)</f>
        <v>0</v>
      </c>
      <c r="H81" s="194">
        <f>IF(ISNUMBER(SEARCH('Карта учёта'!$B$16,Расходка[[#This Row],[Наименование расходного материала]])),MAX($H$1:H80)+1,0)</f>
        <v>0</v>
      </c>
      <c r="I81" s="194">
        <f>IF(ISNUMBER(SEARCH('Карта учёта'!$B$17,Расходка[[#This Row],[Наименование расходного материала]])),MAX($I$1:I80)+1,0)</f>
        <v>0</v>
      </c>
      <c r="J81" s="194">
        <f>IF(ISNUMBER(SEARCH('Карта учёта'!$B$18,Расходка[[#This Row],[Наименование расходного материала]])),MAX($J$1:J80)+1,0)</f>
        <v>0</v>
      </c>
      <c r="K81" s="194">
        <f>IF(ISNUMBER(SEARCH('Карта учёта'!$B$19,Расходка[[#This Row],[Наименование расходного материала]])),MAX($K$1:K80)+1,0)</f>
        <v>80</v>
      </c>
      <c r="L81" s="194">
        <f>IF(ISNUMBER(SEARCH('Карта учёта'!$B$20,Расходка[[#This Row],[Наименование расходного материала]])),MAX($L$1:L80)+1,0)</f>
        <v>80</v>
      </c>
      <c r="M81" s="194">
        <f>IF(ISNUMBER(SEARCH('Карта учёта'!$B$21,Расходка[[#This Row],[Наименование расходного материала]])),MAX($M$1:M80)+1,0)</f>
        <v>80</v>
      </c>
      <c r="N81" s="194">
        <f>IF(ISNUMBER(SEARCH('Карта учёта'!$B$22,Расходка[[#This Row],[Наименование расходного материала]])),MAX($N$1:N80)+1,0)</f>
        <v>80</v>
      </c>
      <c r="O81" s="194">
        <f>IF(ISNUMBER(SEARCH('Карта учёта'!$B$23,Расходка[[#This Row],[Наименование расходного материала]])),MAX($O$1:O80)+1,0)</f>
        <v>80</v>
      </c>
      <c r="P81" s="194">
        <f>IF(ISNUMBER(SEARCH('Карта учёта'!$B$24,Расходка[[#This Row],[Наименование расходного материала]])),MAX($P$1:P80)+1,0)</f>
        <v>80</v>
      </c>
      <c r="Q81" s="194">
        <f>IF(ISNUMBER(SEARCH('Карта учёта'!$B$25,Расходка[[#This Row],[Наименование расходного материала]])),MAX($Q$1:Q80)+1,0)</f>
        <v>80</v>
      </c>
      <c r="R81" s="195" t="str">
        <f>IFERROR(INDEX(Расходка[Наименование расходного материала],MATCH(Расходка[[#This Row],[№]],Поиск_расходки[Индекс1],0)),"")</f>
        <v/>
      </c>
      <c r="S81" s="195" t="str">
        <f>IFERROR(INDEX(Расходка[Наименование расходного материала],MATCH(Расходка[[#This Row],[№]],Поиск_расходки[Индекс2],0)),"")</f>
        <v/>
      </c>
      <c r="T81" s="195" t="str">
        <f>IFERROR(INDEX(Расходка[Наименование расходного материала],MATCH(Расходка[[#This Row],[№]],Поиск_расходки[Индекс3],0)),"")</f>
        <v/>
      </c>
      <c r="U81" s="195" t="str">
        <f>IFERROR(INDEX(Расходка[Наименование расходного материала],MATCH(Расходка[[#This Row],[№]],Поиск_расходки[Индекс4],0)),"")</f>
        <v/>
      </c>
      <c r="V81" s="195" t="str">
        <f>IFERROR(INDEX(Расходка[Наименование расходного материала],MATCH(Расходка[[#This Row],[№]],Поиск_расходки[Индекс5],0)),"")</f>
        <v/>
      </c>
      <c r="W81" s="195" t="str">
        <f>IFERROR(INDEX(Расходка[Наименование расходного материала],MATCH(Расходка[[#This Row],[№]],Поиск_расходки[Индекс6],0)),"")</f>
        <v/>
      </c>
      <c r="X81" s="195" t="str">
        <f>IFERROR(INDEX(Расходка[Наименование расходного материала],MATCH(Расходка[[#This Row],[№]],Поиск_расходки[Индекс7],0)),"")</f>
        <v>Angio-Seal™ VIP</v>
      </c>
      <c r="Y81" s="195" t="str">
        <f>IFERROR(INDEX(Расходка[Наименование расходного материала],MATCH(Расходка[[#This Row],[№]],Поиск_расходки[Индекс8],0)),"")</f>
        <v>Angio-Seal™ VIP</v>
      </c>
      <c r="Z81" s="195" t="str">
        <f>IFERROR(INDEX(Расходка[Наименование расходного материала],MATCH(Расходка[[#This Row],[№]],Поиск_расходки[Индекс9],0)),"")</f>
        <v>Angio-Seal™ VIP</v>
      </c>
      <c r="AA81" s="195" t="str">
        <f>IFERROR(INDEX(Расходка[Наименование расходного материала],MATCH(Расходка[[#This Row],[№]],Поиск_расходки[Индекс10],0)),"")</f>
        <v>Angio-Seal™ VIP</v>
      </c>
      <c r="AB81" s="195" t="str">
        <f>IFERROR(INDEX(Расходка[Наименование расходного материала],MATCH(Расходка[[#This Row],[№]],Поиск_расходки[Индекс11],0)),"")</f>
        <v>Angio-Seal™ VIP</v>
      </c>
      <c r="AC81" s="195" t="str">
        <f>IFERROR(INDEX(Расходка[Наименование расходного материала],MATCH(Расходка[[#This Row],[№]],Поиск_расходки[Индекс12],0)),"")</f>
        <v>Angio-Seal™ VIP</v>
      </c>
      <c r="AD81" s="195" t="str">
        <f>IFERROR(INDEX(Расходка[Наименование расходного материала],MATCH(Расходка[[#This Row],[№]],Поиск_расходки[Индекс13],0)),"")</f>
        <v>Angio-Seal™ VIP</v>
      </c>
      <c r="AF81" s="4" t="s">
        <v>6</v>
      </c>
      <c r="AG81" s="4" t="s">
        <v>470</v>
      </c>
    </row>
    <row r="82" spans="1:33">
      <c r="E82" s="194">
        <f>IF(ISNUMBER(SEARCH('Карта учёта'!$B$13,Расходка[[#This Row],[Наименование расходного материала]])),MAX($E$1:E81)+1,0)</f>
        <v>0</v>
      </c>
      <c r="F82" s="194">
        <f>IF(ISNUMBER(SEARCH('Карта учёта'!$B$14,Расходка[[#This Row],[Наименование расходного материала]])),MAX($F$1:F81)+1,0)</f>
        <v>0</v>
      </c>
      <c r="G82" s="194">
        <f>IF(ISNUMBER(SEARCH('Карта учёта'!$B$15,Расходка[[#This Row],[Наименование расходного материала]])),MAX($G$1:G81)+1,0)</f>
        <v>0</v>
      </c>
      <c r="H82" s="194">
        <f>IF(ISNUMBER(SEARCH('Карта учёта'!$B$16,Расходка[[#This Row],[Наименование расходного материала]])),MAX($H$1:H81)+1,0)</f>
        <v>0</v>
      </c>
      <c r="I82" s="194">
        <f>IF(ISNUMBER(SEARCH('Карта учёта'!$B$17,Расходка[[#This Row],[Наименование расходного материала]])),MAX($I$1:I81)+1,0)</f>
        <v>0</v>
      </c>
      <c r="J82" s="194">
        <f>IF(ISNUMBER(SEARCH('Карта учёта'!$B$18,Расходка[[#This Row],[Наименование расходного материала]])),MAX($J$1:J81)+1,0)</f>
        <v>0</v>
      </c>
      <c r="K82" s="194">
        <f>IF(ISNUMBER(SEARCH('Карта учёта'!$B$19,Расходка[[#This Row],[Наименование расходного материала]])),MAX($K$1:K81)+1,0)</f>
        <v>0</v>
      </c>
      <c r="L82" s="194">
        <f>IF(ISNUMBER(SEARCH('Карта учёта'!$B$20,Расходка[[#This Row],[Наименование расходного материала]])),MAX($L$1:L81)+1,0)</f>
        <v>0</v>
      </c>
      <c r="M82" s="194">
        <f>IF(ISNUMBER(SEARCH('Карта учёта'!$B$21,Расходка[[#This Row],[Наименование расходного материала]])),MAX($M$1:M81)+1,0)</f>
        <v>0</v>
      </c>
      <c r="N82" s="194">
        <f>IF(ISNUMBER(SEARCH('Карта учёта'!$B$22,Расходка[[#This Row],[Наименование расходного материала]])),MAX($N$1:N81)+1,0)</f>
        <v>0</v>
      </c>
      <c r="O82" s="194">
        <f>IF(ISNUMBER(SEARCH('Карта учёта'!$B$23,Расходка[[#This Row],[Наименование расходного материала]])),MAX($O$1:O81)+1,0)</f>
        <v>0</v>
      </c>
      <c r="P82" s="194">
        <f>IF(ISNUMBER(SEARCH('Карта учёта'!$B$24,Расходка[[#This Row],[Наименование расходного материала]])),MAX($P$1:P81)+1,0)</f>
        <v>0</v>
      </c>
      <c r="Q82" s="194">
        <f>IF(ISNUMBER(SEARCH('Карта учёта'!$B$25,Расходка[[#This Row],[Наименование расходного материала]])),MAX($Q$1:Q81)+1,0)</f>
        <v>0</v>
      </c>
      <c r="R82" s="195" t="str">
        <f>IFERROR(INDEX(Расходка[Наименование расходного материала],MATCH(Расходка[[#This Row],[№]],Поиск_расходки[Индекс1],0)),"")</f>
        <v/>
      </c>
      <c r="S82" s="195" t="str">
        <f>IFERROR(INDEX(Расходка[Наименование расходного материала],MATCH(Расходка[[#This Row],[№]],Поиск_расходки[Индекс2],0)),"")</f>
        <v/>
      </c>
      <c r="T82" s="195" t="str">
        <f>IFERROR(INDEX(Расходка[Наименование расходного материала],MATCH(Расходка[[#This Row],[№]],Поиск_расходки[Индекс3],0)),"")</f>
        <v/>
      </c>
      <c r="U82" s="195" t="str">
        <f>IFERROR(INDEX(Расходка[Наименование расходного материала],MATCH(Расходка[[#This Row],[№]],Поиск_расходки[Индекс4],0)),"")</f>
        <v/>
      </c>
      <c r="V82" s="195" t="str">
        <f>IFERROR(INDEX(Расходка[Наименование расходного материала],MATCH(Расходка[[#This Row],[№]],Поиск_расходки[Индекс5],0)),"")</f>
        <v/>
      </c>
      <c r="W82" s="195" t="str">
        <f>IFERROR(INDEX(Расходка[Наименование расходного материала],MATCH(Расходка[[#This Row],[№]],Поиск_расходки[Индекс6],0)),"")</f>
        <v/>
      </c>
      <c r="X82" s="195" t="str">
        <f>IFERROR(INDEX(Расходка[Наименование расходного материала],MATCH(Расходка[[#This Row],[№]],Поиск_расходки[Индекс7],0)),"")</f>
        <v/>
      </c>
      <c r="Y82" s="195" t="str">
        <f>IFERROR(INDEX(Расходка[Наименование расходного материала],MATCH(Расходка[[#This Row],[№]],Поиск_расходки[Индекс8],0)),"")</f>
        <v/>
      </c>
      <c r="Z82" s="195" t="str">
        <f>IFERROR(INDEX(Расходка[Наименование расходного материала],MATCH(Расходка[[#This Row],[№]],Поиск_расходки[Индекс9],0)),"")</f>
        <v/>
      </c>
      <c r="AA82" s="195" t="str">
        <f>IFERROR(INDEX(Расходка[Наименование расходного материала],MATCH(Расходка[[#This Row],[№]],Поиск_расходки[Индекс10],0)),"")</f>
        <v/>
      </c>
      <c r="AB82" s="195" t="str">
        <f>IFERROR(INDEX(Расходка[Наименование расходного материала],MATCH(Расходка[[#This Row],[№]],Поиск_расходки[Индекс11],0)),"")</f>
        <v/>
      </c>
      <c r="AC82" s="195" t="str">
        <f>IFERROR(INDEX(Расходка[Наименование расходного материала],MATCH(Расходка[[#This Row],[№]],Поиск_расходки[Индекс12],0)),"")</f>
        <v/>
      </c>
      <c r="AD82" s="195" t="str">
        <f>IFERROR(INDEX(Расходка[Наименование расходного материала],MATCH(Расходка[[#This Row],[№]],Поиск_расходки[Индекс13],0)),"")</f>
        <v/>
      </c>
      <c r="AF82" s="4" t="s">
        <v>6</v>
      </c>
      <c r="AG82" s="4" t="s">
        <v>471</v>
      </c>
    </row>
    <row r="83" spans="1:33">
      <c r="E83" s="194">
        <f>IF(ISNUMBER(SEARCH('Карта учёта'!$B$13,Расходка[[#This Row],[Наименование расходного материала]])),MAX($E$1:E82)+1,0)</f>
        <v>0</v>
      </c>
      <c r="F83" s="194">
        <f>IF(ISNUMBER(SEARCH('Карта учёта'!$B$14,Расходка[[#This Row],[Наименование расходного материала]])),MAX($F$1:F82)+1,0)</f>
        <v>0</v>
      </c>
      <c r="G83" s="194">
        <f>IF(ISNUMBER(SEARCH('Карта учёта'!$B$15,Расходка[[#This Row],[Наименование расходного материала]])),MAX($G$1:G82)+1,0)</f>
        <v>0</v>
      </c>
      <c r="H83" s="194">
        <f>IF(ISNUMBER(SEARCH('Карта учёта'!$B$16,Расходка[[#This Row],[Наименование расходного материала]])),MAX($H$1:H82)+1,0)</f>
        <v>0</v>
      </c>
      <c r="I83" s="194">
        <f>IF(ISNUMBER(SEARCH('Карта учёта'!$B$17,Расходка[[#This Row],[Наименование расходного материала]])),MAX($I$1:I82)+1,0)</f>
        <v>0</v>
      </c>
      <c r="J83" s="194">
        <f>IF(ISNUMBER(SEARCH('Карта учёта'!$B$18,Расходка[[#This Row],[Наименование расходного материала]])),MAX($J$1:J82)+1,0)</f>
        <v>0</v>
      </c>
      <c r="K83" s="194">
        <f>IF(ISNUMBER(SEARCH('Карта учёта'!$B$19,Расходка[[#This Row],[Наименование расходного материала]])),MAX($K$1:K82)+1,0)</f>
        <v>0</v>
      </c>
      <c r="L83" s="194">
        <f>IF(ISNUMBER(SEARCH('Карта учёта'!$B$20,Расходка[[#This Row],[Наименование расходного материала]])),MAX($L$1:L82)+1,0)</f>
        <v>0</v>
      </c>
      <c r="M83" s="194">
        <f>IF(ISNUMBER(SEARCH('Карта учёта'!$B$21,Расходка[[#This Row],[Наименование расходного материала]])),MAX($M$1:M82)+1,0)</f>
        <v>0</v>
      </c>
      <c r="N83" s="194">
        <f>IF(ISNUMBER(SEARCH('Карта учёта'!$B$22,Расходка[[#This Row],[Наименование расходного материала]])),MAX($N$1:N82)+1,0)</f>
        <v>0</v>
      </c>
      <c r="O83" s="194">
        <f>IF(ISNUMBER(SEARCH('Карта учёта'!$B$23,Расходка[[#This Row],[Наименование расходного материала]])),MAX($O$1:O82)+1,0)</f>
        <v>0</v>
      </c>
      <c r="P83" s="194">
        <f>IF(ISNUMBER(SEARCH('Карта учёта'!$B$24,Расходка[[#This Row],[Наименование расходного материала]])),MAX($P$1:P82)+1,0)</f>
        <v>0</v>
      </c>
      <c r="Q83" s="194">
        <f>IF(ISNUMBER(SEARCH('Карта учёта'!$B$25,Расходка[[#This Row],[Наименование расходного материала]])),MAX($Q$1:Q82)+1,0)</f>
        <v>0</v>
      </c>
      <c r="R83" s="195" t="str">
        <f>IFERROR(INDEX(Расходка[Наименование расходного материала],MATCH(Расходка[[#This Row],[№]],Поиск_расходки[Индекс1],0)),"")</f>
        <v/>
      </c>
      <c r="S83" s="195" t="str">
        <f>IFERROR(INDEX(Расходка[Наименование расходного материала],MATCH(Расходка[[#This Row],[№]],Поиск_расходки[Индекс2],0)),"")</f>
        <v/>
      </c>
      <c r="T83" s="195" t="str">
        <f>IFERROR(INDEX(Расходка[Наименование расходного материала],MATCH(Расходка[[#This Row],[№]],Поиск_расходки[Индекс3],0)),"")</f>
        <v/>
      </c>
      <c r="U83" s="195" t="str">
        <f>IFERROR(INDEX(Расходка[Наименование расходного материала],MATCH(Расходка[[#This Row],[№]],Поиск_расходки[Индекс4],0)),"")</f>
        <v/>
      </c>
      <c r="V83" s="195" t="str">
        <f>IFERROR(INDEX(Расходка[Наименование расходного материала],MATCH(Расходка[[#This Row],[№]],Поиск_расходки[Индекс5],0)),"")</f>
        <v/>
      </c>
      <c r="W83" s="195" t="str">
        <f>IFERROR(INDEX(Расходка[Наименование расходного материала],MATCH(Расходка[[#This Row],[№]],Поиск_расходки[Индекс6],0)),"")</f>
        <v/>
      </c>
      <c r="X83" s="195" t="str">
        <f>IFERROR(INDEX(Расходка[Наименование расходного материала],MATCH(Расходка[[#This Row],[№]],Поиск_расходки[Индекс7],0)),"")</f>
        <v/>
      </c>
      <c r="Y83" s="195" t="str">
        <f>IFERROR(INDEX(Расходка[Наименование расходного материала],MATCH(Расходка[[#This Row],[№]],Поиск_расходки[Индекс8],0)),"")</f>
        <v/>
      </c>
      <c r="Z83" s="195" t="str">
        <f>IFERROR(INDEX(Расходка[Наименование расходного материала],MATCH(Расходка[[#This Row],[№]],Поиск_расходки[Индекс9],0)),"")</f>
        <v/>
      </c>
      <c r="AA83" s="195" t="str">
        <f>IFERROR(INDEX(Расходка[Наименование расходного материала],MATCH(Расходка[[#This Row],[№]],Поиск_расходки[Индекс10],0)),"")</f>
        <v/>
      </c>
      <c r="AB83" s="195" t="str">
        <f>IFERROR(INDEX(Расходка[Наименование расходного материала],MATCH(Расходка[[#This Row],[№]],Поиск_расходки[Индекс11],0)),"")</f>
        <v/>
      </c>
      <c r="AC83" s="195" t="str">
        <f>IFERROR(INDEX(Расходка[Наименование расходного материала],MATCH(Расходка[[#This Row],[№]],Поиск_расходки[Индекс12],0)),"")</f>
        <v/>
      </c>
      <c r="AD83" s="195" t="str">
        <f>IFERROR(INDEX(Расходка[Наименование расходного материала],MATCH(Расходка[[#This Row],[№]],Поиск_расходки[Индекс13],0)),"")</f>
        <v/>
      </c>
      <c r="AF83" s="4" t="s">
        <v>6</v>
      </c>
      <c r="AG83" s="4" t="s">
        <v>472</v>
      </c>
    </row>
    <row r="84" spans="1:33">
      <c r="E84" s="194">
        <f>IF(ISNUMBER(SEARCH('Карта учёта'!$B$13,Расходка[[#This Row],[Наименование расходного материала]])),MAX($E$1:E83)+1,0)</f>
        <v>0</v>
      </c>
      <c r="F84" s="194">
        <f>IF(ISNUMBER(SEARCH('Карта учёта'!$B$14,Расходка[[#This Row],[Наименование расходного материала]])),MAX($F$1:F83)+1,0)</f>
        <v>0</v>
      </c>
      <c r="G84" s="194">
        <f>IF(ISNUMBER(SEARCH('Карта учёта'!$B$15,Расходка[[#This Row],[Наименование расходного материала]])),MAX($G$1:G83)+1,0)</f>
        <v>0</v>
      </c>
      <c r="H84" s="194">
        <f>IF(ISNUMBER(SEARCH('Карта учёта'!$B$16,Расходка[[#This Row],[Наименование расходного материала]])),MAX($H$1:H83)+1,0)</f>
        <v>0</v>
      </c>
      <c r="I84" s="194">
        <f>IF(ISNUMBER(SEARCH('Карта учёта'!$B$17,Расходка[[#This Row],[Наименование расходного материала]])),MAX($I$1:I83)+1,0)</f>
        <v>0</v>
      </c>
      <c r="J84" s="194">
        <f>IF(ISNUMBER(SEARCH('Карта учёта'!$B$18,Расходка[[#This Row],[Наименование расходного материала]])),MAX($J$1:J83)+1,0)</f>
        <v>0</v>
      </c>
      <c r="K84" s="194">
        <f>IF(ISNUMBER(SEARCH('Карта учёта'!$B$19,Расходка[[#This Row],[Наименование расходного материала]])),MAX($K$1:K83)+1,0)</f>
        <v>0</v>
      </c>
      <c r="L84" s="194">
        <f>IF(ISNUMBER(SEARCH('Карта учёта'!$B$20,Расходка[[#This Row],[Наименование расходного материала]])),MAX($L$1:L83)+1,0)</f>
        <v>0</v>
      </c>
      <c r="M84" s="194">
        <f>IF(ISNUMBER(SEARCH('Карта учёта'!$B$21,Расходка[[#This Row],[Наименование расходного материала]])),MAX($M$1:M83)+1,0)</f>
        <v>0</v>
      </c>
      <c r="N84" s="194">
        <f>IF(ISNUMBER(SEARCH('Карта учёта'!$B$22,Расходка[[#This Row],[Наименование расходного материала]])),MAX($N$1:N83)+1,0)</f>
        <v>0</v>
      </c>
      <c r="O84" s="194">
        <f>IF(ISNUMBER(SEARCH('Карта учёта'!$B$23,Расходка[[#This Row],[Наименование расходного материала]])),MAX($O$1:O83)+1,0)</f>
        <v>0</v>
      </c>
      <c r="P84" s="194">
        <f>IF(ISNUMBER(SEARCH('Карта учёта'!$B$24,Расходка[[#This Row],[Наименование расходного материала]])),MAX($P$1:P83)+1,0)</f>
        <v>0</v>
      </c>
      <c r="Q84" s="194">
        <f>IF(ISNUMBER(SEARCH('Карта учёта'!$B$25,Расходка[[#This Row],[Наименование расходного материала]])),MAX($Q$1:Q83)+1,0)</f>
        <v>0</v>
      </c>
      <c r="R84" s="195" t="str">
        <f>IFERROR(INDEX(Расходка[Наименование расходного материала],MATCH(Расходка[[#This Row],[№]],Поиск_расходки[Индекс1],0)),"")</f>
        <v/>
      </c>
      <c r="S84" s="195" t="str">
        <f>IFERROR(INDEX(Расходка[Наименование расходного материала],MATCH(Расходка[[#This Row],[№]],Поиск_расходки[Индекс2],0)),"")</f>
        <v/>
      </c>
      <c r="T84" s="195" t="str">
        <f>IFERROR(INDEX(Расходка[Наименование расходного материала],MATCH(Расходка[[#This Row],[№]],Поиск_расходки[Индекс3],0)),"")</f>
        <v/>
      </c>
      <c r="U84" s="195" t="str">
        <f>IFERROR(INDEX(Расходка[Наименование расходного материала],MATCH(Расходка[[#This Row],[№]],Поиск_расходки[Индекс4],0)),"")</f>
        <v/>
      </c>
      <c r="V84" s="195" t="str">
        <f>IFERROR(INDEX(Расходка[Наименование расходного материала],MATCH(Расходка[[#This Row],[№]],Поиск_расходки[Индекс5],0)),"")</f>
        <v/>
      </c>
      <c r="W84" s="195" t="str">
        <f>IFERROR(INDEX(Расходка[Наименование расходного материала],MATCH(Расходка[[#This Row],[№]],Поиск_расходки[Индекс6],0)),"")</f>
        <v/>
      </c>
      <c r="X84" s="195" t="str">
        <f>IFERROR(INDEX(Расходка[Наименование расходного материала],MATCH(Расходка[[#This Row],[№]],Поиск_расходки[Индекс7],0)),"")</f>
        <v/>
      </c>
      <c r="Y84" s="195" t="str">
        <f>IFERROR(INDEX(Расходка[Наименование расходного материала],MATCH(Расходка[[#This Row],[№]],Поиск_расходки[Индекс8],0)),"")</f>
        <v/>
      </c>
      <c r="Z84" s="195" t="str">
        <f>IFERROR(INDEX(Расходка[Наименование расходного материала],MATCH(Расходка[[#This Row],[№]],Поиск_расходки[Индекс9],0)),"")</f>
        <v/>
      </c>
      <c r="AA84" s="195" t="str">
        <f>IFERROR(INDEX(Расходка[Наименование расходного материала],MATCH(Расходка[[#This Row],[№]],Поиск_расходки[Индекс10],0)),"")</f>
        <v/>
      </c>
      <c r="AB84" s="195" t="str">
        <f>IFERROR(INDEX(Расходка[Наименование расходного материала],MATCH(Расходка[[#This Row],[№]],Поиск_расходки[Индекс11],0)),"")</f>
        <v/>
      </c>
      <c r="AC84" s="195" t="str">
        <f>IFERROR(INDEX(Расходка[Наименование расходного материала],MATCH(Расходка[[#This Row],[№]],Поиск_расходки[Индекс12],0)),"")</f>
        <v/>
      </c>
      <c r="AD84" s="195" t="str">
        <f>IFERROR(INDEX(Расходка[Наименование расходного материала],MATCH(Расходка[[#This Row],[№]],Поиск_расходки[Индекс13],0)),"")</f>
        <v/>
      </c>
      <c r="AF84" s="4" t="s">
        <v>6</v>
      </c>
      <c r="AG84" s="4" t="s">
        <v>423</v>
      </c>
    </row>
    <row r="85" spans="1:33">
      <c r="E85" s="194">
        <f>IF(ISNUMBER(SEARCH('Карта учёта'!$B$13,Расходка[[#This Row],[Наименование расходного материала]])),MAX($E$1:E84)+1,0)</f>
        <v>0</v>
      </c>
      <c r="F85" s="194">
        <f>IF(ISNUMBER(SEARCH('Карта учёта'!$B$14,Расходка[[#This Row],[Наименование расходного материала]])),MAX($F$1:F84)+1,0)</f>
        <v>0</v>
      </c>
      <c r="G85" s="194">
        <f>IF(ISNUMBER(SEARCH('Карта учёта'!$B$15,Расходка[[#This Row],[Наименование расходного материала]])),MAX($G$1:G84)+1,0)</f>
        <v>0</v>
      </c>
      <c r="H85" s="194">
        <f>IF(ISNUMBER(SEARCH('Карта учёта'!$B$16,Расходка[[#This Row],[Наименование расходного материала]])),MAX($H$1:H84)+1,0)</f>
        <v>0</v>
      </c>
      <c r="I85" s="194">
        <f>IF(ISNUMBER(SEARCH('Карта учёта'!$B$17,Расходка[[#This Row],[Наименование расходного материала]])),MAX($I$1:I84)+1,0)</f>
        <v>0</v>
      </c>
      <c r="J85" s="194">
        <f>IF(ISNUMBER(SEARCH('Карта учёта'!$B$18,Расходка[[#This Row],[Наименование расходного материала]])),MAX($J$1:J84)+1,0)</f>
        <v>0</v>
      </c>
      <c r="K85" s="194">
        <f>IF(ISNUMBER(SEARCH('Карта учёта'!$B$19,Расходка[[#This Row],[Наименование расходного материала]])),MAX($K$1:K84)+1,0)</f>
        <v>0</v>
      </c>
      <c r="L85" s="194">
        <f>IF(ISNUMBER(SEARCH('Карта учёта'!$B$20,Расходка[[#This Row],[Наименование расходного материала]])),MAX($L$1:L84)+1,0)</f>
        <v>0</v>
      </c>
      <c r="M85" s="194">
        <f>IF(ISNUMBER(SEARCH('Карта учёта'!$B$21,Расходка[[#This Row],[Наименование расходного материала]])),MAX($M$1:M84)+1,0)</f>
        <v>0</v>
      </c>
      <c r="N85" s="194">
        <f>IF(ISNUMBER(SEARCH('Карта учёта'!$B$22,Расходка[[#This Row],[Наименование расходного материала]])),MAX($N$1:N84)+1,0)</f>
        <v>0</v>
      </c>
      <c r="O85" s="194">
        <f>IF(ISNUMBER(SEARCH('Карта учёта'!$B$23,Расходка[[#This Row],[Наименование расходного материала]])),MAX($O$1:O84)+1,0)</f>
        <v>0</v>
      </c>
      <c r="P85" s="194">
        <f>IF(ISNUMBER(SEARCH('Карта учёта'!$B$24,Расходка[[#This Row],[Наименование расходного материала]])),MAX($P$1:P84)+1,0)</f>
        <v>0</v>
      </c>
      <c r="Q85" s="194">
        <f>IF(ISNUMBER(SEARCH('Карта учёта'!$B$25,Расходка[[#This Row],[Наименование расходного материала]])),MAX($Q$1:Q84)+1,0)</f>
        <v>0</v>
      </c>
      <c r="R85" s="195" t="str">
        <f>IFERROR(INDEX(Расходка[Наименование расходного материала],MATCH(Расходка[[#This Row],[№]],Поиск_расходки[Индекс1],0)),"")</f>
        <v/>
      </c>
      <c r="S85" s="195" t="str">
        <f>IFERROR(INDEX(Расходка[Наименование расходного материала],MATCH(Расходка[[#This Row],[№]],Поиск_расходки[Индекс2],0)),"")</f>
        <v/>
      </c>
      <c r="T85" s="195" t="str">
        <f>IFERROR(INDEX(Расходка[Наименование расходного материала],MATCH(Расходка[[#This Row],[№]],Поиск_расходки[Индекс3],0)),"")</f>
        <v/>
      </c>
      <c r="U85" s="195" t="str">
        <f>IFERROR(INDEX(Расходка[Наименование расходного материала],MATCH(Расходка[[#This Row],[№]],Поиск_расходки[Индекс4],0)),"")</f>
        <v/>
      </c>
      <c r="V85" s="195" t="str">
        <f>IFERROR(INDEX(Расходка[Наименование расходного материала],MATCH(Расходка[[#This Row],[№]],Поиск_расходки[Индекс5],0)),"")</f>
        <v/>
      </c>
      <c r="W85" s="195" t="str">
        <f>IFERROR(INDEX(Расходка[Наименование расходного материала],MATCH(Расходка[[#This Row],[№]],Поиск_расходки[Индекс6],0)),"")</f>
        <v/>
      </c>
      <c r="X85" s="195" t="str">
        <f>IFERROR(INDEX(Расходка[Наименование расходного материала],MATCH(Расходка[[#This Row],[№]],Поиск_расходки[Индекс7],0)),"")</f>
        <v/>
      </c>
      <c r="Y85" s="195" t="str">
        <f>IFERROR(INDEX(Расходка[Наименование расходного материала],MATCH(Расходка[[#This Row],[№]],Поиск_расходки[Индекс8],0)),"")</f>
        <v/>
      </c>
      <c r="Z85" s="195" t="str">
        <f>IFERROR(INDEX(Расходка[Наименование расходного материала],MATCH(Расходка[[#This Row],[№]],Поиск_расходки[Индекс9],0)),"")</f>
        <v/>
      </c>
      <c r="AA85" s="195" t="str">
        <f>IFERROR(INDEX(Расходка[Наименование расходного материала],MATCH(Расходка[[#This Row],[№]],Поиск_расходки[Индекс10],0)),"")</f>
        <v/>
      </c>
      <c r="AB85" s="195" t="str">
        <f>IFERROR(INDEX(Расходка[Наименование расходного материала],MATCH(Расходка[[#This Row],[№]],Поиск_расходки[Индекс11],0)),"")</f>
        <v/>
      </c>
      <c r="AC85" s="195" t="str">
        <f>IFERROR(INDEX(Расходка[Наименование расходного материала],MATCH(Расходка[[#This Row],[№]],Поиск_расходки[Индекс12],0)),"")</f>
        <v/>
      </c>
      <c r="AD85" s="195" t="str">
        <f>IFERROR(INDEX(Расходка[Наименование расходного материала],MATCH(Расходка[[#This Row],[№]],Поиск_расходки[Индекс13],0)),"")</f>
        <v/>
      </c>
      <c r="AF85" s="4" t="s">
        <v>6</v>
      </c>
      <c r="AG85" s="4" t="s">
        <v>424</v>
      </c>
    </row>
    <row r="86" spans="1:33">
      <c r="E86" s="194">
        <f>IF(ISNUMBER(SEARCH('Карта учёта'!$B$13,Расходка[[#This Row],[Наименование расходного материала]])),MAX($E$1:E85)+1,0)</f>
        <v>0</v>
      </c>
      <c r="F86" s="194">
        <f>IF(ISNUMBER(SEARCH('Карта учёта'!$B$14,Расходка[[#This Row],[Наименование расходного материала]])),MAX($F$1:F85)+1,0)</f>
        <v>0</v>
      </c>
      <c r="G86" s="194">
        <f>IF(ISNUMBER(SEARCH('Карта учёта'!$B$15,Расходка[[#This Row],[Наименование расходного материала]])),MAX($G$1:G85)+1,0)</f>
        <v>0</v>
      </c>
      <c r="H86" s="194">
        <f>IF(ISNUMBER(SEARCH('Карта учёта'!$B$16,Расходка[[#This Row],[Наименование расходного материала]])),MAX($H$1:H85)+1,0)</f>
        <v>0</v>
      </c>
      <c r="I86" s="194">
        <f>IF(ISNUMBER(SEARCH('Карта учёта'!$B$17,Расходка[[#This Row],[Наименование расходного материала]])),MAX($I$1:I85)+1,0)</f>
        <v>0</v>
      </c>
      <c r="J86" s="194">
        <f>IF(ISNUMBER(SEARCH('Карта учёта'!$B$18,Расходка[[#This Row],[Наименование расходного материала]])),MAX($J$1:J85)+1,0)</f>
        <v>0</v>
      </c>
      <c r="K86" s="194">
        <f>IF(ISNUMBER(SEARCH('Карта учёта'!$B$19,Расходка[[#This Row],[Наименование расходного материала]])),MAX($K$1:K85)+1,0)</f>
        <v>0</v>
      </c>
      <c r="L86" s="194">
        <f>IF(ISNUMBER(SEARCH('Карта учёта'!$B$20,Расходка[[#This Row],[Наименование расходного материала]])),MAX($L$1:L85)+1,0)</f>
        <v>0</v>
      </c>
      <c r="M86" s="194">
        <f>IF(ISNUMBER(SEARCH('Карта учёта'!$B$21,Расходка[[#This Row],[Наименование расходного материала]])),MAX($M$1:M85)+1,0)</f>
        <v>0</v>
      </c>
      <c r="N86" s="194">
        <f>IF(ISNUMBER(SEARCH('Карта учёта'!$B$22,Расходка[[#This Row],[Наименование расходного материала]])),MAX($N$1:N85)+1,0)</f>
        <v>0</v>
      </c>
      <c r="O86" s="194">
        <f>IF(ISNUMBER(SEARCH('Карта учёта'!$B$23,Расходка[[#This Row],[Наименование расходного материала]])),MAX($O$1:O85)+1,0)</f>
        <v>0</v>
      </c>
      <c r="P86" s="194">
        <f>IF(ISNUMBER(SEARCH('Карта учёта'!$B$24,Расходка[[#This Row],[Наименование расходного материала]])),MAX($P$1:P85)+1,0)</f>
        <v>0</v>
      </c>
      <c r="Q86" s="194">
        <f>IF(ISNUMBER(SEARCH('Карта учёта'!$B$25,Расходка[[#This Row],[Наименование расходного материала]])),MAX($Q$1:Q85)+1,0)</f>
        <v>0</v>
      </c>
      <c r="R86" s="195" t="str">
        <f>IFERROR(INDEX(Расходка[Наименование расходного материала],MATCH(Расходка[[#This Row],[№]],Поиск_расходки[Индекс1],0)),"")</f>
        <v/>
      </c>
      <c r="S86" s="195" t="str">
        <f>IFERROR(INDEX(Расходка[Наименование расходного материала],MATCH(Расходка[[#This Row],[№]],Поиск_расходки[Индекс2],0)),"")</f>
        <v/>
      </c>
      <c r="T86" s="195" t="str">
        <f>IFERROR(INDEX(Расходка[Наименование расходного материала],MATCH(Расходка[[#This Row],[№]],Поиск_расходки[Индекс3],0)),"")</f>
        <v/>
      </c>
      <c r="U86" s="195" t="str">
        <f>IFERROR(INDEX(Расходка[Наименование расходного материала],MATCH(Расходка[[#This Row],[№]],Поиск_расходки[Индекс4],0)),"")</f>
        <v/>
      </c>
      <c r="V86" s="195" t="str">
        <f>IFERROR(INDEX(Расходка[Наименование расходного материала],MATCH(Расходка[[#This Row],[№]],Поиск_расходки[Индекс5],0)),"")</f>
        <v/>
      </c>
      <c r="W86" s="195" t="str">
        <f>IFERROR(INDEX(Расходка[Наименование расходного материала],MATCH(Расходка[[#This Row],[№]],Поиск_расходки[Индекс6],0)),"")</f>
        <v/>
      </c>
      <c r="X86" s="195" t="str">
        <f>IFERROR(INDEX(Расходка[Наименование расходного материала],MATCH(Расходка[[#This Row],[№]],Поиск_расходки[Индекс7],0)),"")</f>
        <v/>
      </c>
      <c r="Y86" s="195" t="str">
        <f>IFERROR(INDEX(Расходка[Наименование расходного материала],MATCH(Расходка[[#This Row],[№]],Поиск_расходки[Индекс8],0)),"")</f>
        <v/>
      </c>
      <c r="Z86" s="195" t="str">
        <f>IFERROR(INDEX(Расходка[Наименование расходного материала],MATCH(Расходка[[#This Row],[№]],Поиск_расходки[Индекс9],0)),"")</f>
        <v/>
      </c>
      <c r="AA86" s="195" t="str">
        <f>IFERROR(INDEX(Расходка[Наименование расходного материала],MATCH(Расходка[[#This Row],[№]],Поиск_расходки[Индекс10],0)),"")</f>
        <v/>
      </c>
      <c r="AB86" s="195" t="str">
        <f>IFERROR(INDEX(Расходка[Наименование расходного материала],MATCH(Расходка[[#This Row],[№]],Поиск_расходки[Индекс11],0)),"")</f>
        <v/>
      </c>
      <c r="AC86" s="195" t="str">
        <f>IFERROR(INDEX(Расходка[Наименование расходного материала],MATCH(Расходка[[#This Row],[№]],Поиск_расходки[Индекс12],0)),"")</f>
        <v/>
      </c>
      <c r="AD86" s="195" t="str">
        <f>IFERROR(INDEX(Расходка[Наименование расходного материала],MATCH(Расходка[[#This Row],[№]],Поиск_расходки[Индекс13],0)),"")</f>
        <v/>
      </c>
      <c r="AF86" s="4" t="s">
        <v>6</v>
      </c>
      <c r="AG86" s="4" t="s">
        <v>473</v>
      </c>
    </row>
    <row r="87" spans="1:33">
      <c r="AF87" s="4" t="s">
        <v>6</v>
      </c>
      <c r="AG87" s="4" t="s">
        <v>474</v>
      </c>
    </row>
    <row r="88" spans="1:33">
      <c r="AF88" s="4" t="s">
        <v>6</v>
      </c>
      <c r="AG88" s="4" t="s">
        <v>475</v>
      </c>
    </row>
    <row r="89" spans="1:33">
      <c r="AF89" s="4" t="s">
        <v>6</v>
      </c>
      <c r="AG89" s="4" t="s">
        <v>476</v>
      </c>
    </row>
    <row r="90" spans="1:33">
      <c r="AF90" s="4" t="s">
        <v>6</v>
      </c>
      <c r="AG90" s="4" t="s">
        <v>477</v>
      </c>
    </row>
    <row r="91" spans="1:33">
      <c r="AF91" s="4" t="s">
        <v>6</v>
      </c>
      <c r="AG91" s="4" t="s">
        <v>478</v>
      </c>
    </row>
    <row r="92" spans="1:33">
      <c r="AF92" s="4" t="s">
        <v>6</v>
      </c>
      <c r="AG92" s="4" t="s">
        <v>479</v>
      </c>
    </row>
    <row r="93" spans="1:33">
      <c r="AF93" s="4" t="s">
        <v>6</v>
      </c>
      <c r="AG93" s="4" t="s">
        <v>480</v>
      </c>
    </row>
    <row r="94" spans="1:33">
      <c r="AF94" s="4" t="s">
        <v>6</v>
      </c>
      <c r="AG94" s="4" t="s">
        <v>427</v>
      </c>
    </row>
    <row r="95" spans="1:33">
      <c r="AF95" s="4" t="s">
        <v>6</v>
      </c>
      <c r="AG95" s="4" t="s">
        <v>428</v>
      </c>
    </row>
    <row r="96" spans="1:33">
      <c r="AF96" s="4" t="s">
        <v>6</v>
      </c>
      <c r="AG96" s="4" t="s">
        <v>481</v>
      </c>
    </row>
    <row r="97" spans="32:33">
      <c r="AF97" s="4" t="s">
        <v>6</v>
      </c>
      <c r="AG97" s="4" t="s">
        <v>482</v>
      </c>
    </row>
  </sheetData>
  <sheetProtection sheet="1" objects="1" scenarios="1" formatCells="0" formatColumns="0"/>
  <phoneticPr fontId="15" type="noConversion"/>
  <dataValidations count="1">
    <dataValidation type="list" allowBlank="1" showInputMessage="1" showErrorMessage="1" sqref="B2:B81">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199"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199"/>
    </row>
    <row r="20" spans="1:3">
      <c r="C20" s="199"/>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521</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522</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5"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88"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2025-04-11T16:00:01Z</cp:lastPrinted>
  <dcterms:created xsi:type="dcterms:W3CDTF">2015-06-05T18:19:34Z</dcterms:created>
  <dcterms:modified xsi:type="dcterms:W3CDTF">2025-04-11T16:03:59Z</dcterms:modified>
</cp:coreProperties>
</file>