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  <sheet name="Лист1" sheetId="12" r:id="rId9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79" i="1"/>
  <c r="F80" i="1"/>
  <c r="F81" i="1"/>
  <c r="F82" i="1"/>
  <c r="F83" i="1"/>
  <c r="G79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81" i="1"/>
  <c r="J82" i="1"/>
  <c r="J83" i="1"/>
  <c r="K81" i="1"/>
  <c r="K82" i="1"/>
  <c r="K83" i="1"/>
  <c r="L81" i="1"/>
  <c r="L82" i="1"/>
  <c r="L83" i="1"/>
  <c r="M81" i="1"/>
  <c r="M82" i="1"/>
  <c r="M83" i="1"/>
  <c r="N81" i="1"/>
  <c r="N82" i="1"/>
  <c r="N83" i="1"/>
  <c r="O81" i="1"/>
  <c r="O82" i="1"/>
  <c r="O83" i="1"/>
  <c r="P81" i="1"/>
  <c r="P82" i="1"/>
  <c r="P83" i="1"/>
  <c r="Q81" i="1"/>
  <c r="Q82" i="1"/>
  <c r="Q83" i="1"/>
  <c r="R79" i="1"/>
  <c r="R80" i="1"/>
  <c r="R81" i="1"/>
  <c r="R82" i="1"/>
  <c r="R83" i="1"/>
  <c r="S81" i="1"/>
  <c r="S82" i="1"/>
  <c r="S83" i="1"/>
  <c r="T79" i="1"/>
  <c r="T80" i="1"/>
  <c r="T81" i="1"/>
  <c r="T82" i="1"/>
  <c r="T83" i="1"/>
  <c r="U81" i="1"/>
  <c r="U82" i="1"/>
  <c r="U83" i="1"/>
  <c r="V81" i="1"/>
  <c r="V82" i="1"/>
  <c r="V83" i="1"/>
  <c r="W81" i="1"/>
  <c r="W82" i="1"/>
  <c r="W83" i="1"/>
  <c r="X81" i="1"/>
  <c r="X82" i="1"/>
  <c r="X83" i="1"/>
  <c r="Y81" i="1"/>
  <c r="Y82" i="1"/>
  <c r="Y83" i="1"/>
  <c r="Z81" i="1"/>
  <c r="Z82" i="1"/>
  <c r="Z83" i="1"/>
  <c r="AA81" i="1"/>
  <c r="AA82" i="1"/>
  <c r="AA83" i="1"/>
  <c r="AB81" i="1"/>
  <c r="AB82" i="1"/>
  <c r="AB83" i="1"/>
  <c r="AC81" i="1"/>
  <c r="AC82" i="1"/>
  <c r="AC83" i="1"/>
  <c r="AD81" i="1"/>
  <c r="AD82" i="1"/>
  <c r="AD83" i="1"/>
  <c r="B13" i="9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Q64" i="1" l="1"/>
  <c r="O60" i="1"/>
  <c r="O61" i="1" s="1"/>
  <c r="O62" i="1" s="1"/>
  <c r="P19" i="1"/>
  <c r="E68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Q67" i="1" l="1"/>
  <c r="Q66" i="1"/>
  <c r="O64" i="1"/>
  <c r="P21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AB2" i="1"/>
  <c r="Q68" i="1" l="1"/>
  <c r="Q69" i="1" s="1"/>
  <c r="O65" i="1"/>
  <c r="P22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0" i="1" l="1"/>
  <c r="Q71" i="1" s="1"/>
  <c r="Q72" i="1" s="1"/>
  <c r="Q73" i="1" s="1"/>
  <c r="O66" i="1"/>
  <c r="O67" i="1" s="1"/>
  <c r="O68" i="1" s="1"/>
  <c r="P2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O69" i="1" l="1"/>
  <c r="O70" i="1" s="1"/>
  <c r="O71" i="1" s="1"/>
  <c r="O72" i="1" s="1"/>
  <c r="Q74" i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O74" i="1" l="1"/>
  <c r="Q76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Q79" i="1" s="1"/>
  <c r="Q80" i="1" s="1"/>
  <c r="O77" i="1"/>
  <c r="P28" i="1"/>
  <c r="I67" i="1"/>
  <c r="I68" i="1" s="1"/>
  <c r="I69" i="1" s="1"/>
  <c r="H67" i="1"/>
  <c r="J69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D37" i="1" l="1"/>
  <c r="AD78" i="1"/>
  <c r="AD80" i="1"/>
  <c r="AD79" i="1"/>
  <c r="AD2" i="1"/>
  <c r="AD57" i="1"/>
  <c r="AD6" i="1"/>
  <c r="AD4" i="1"/>
  <c r="AD7" i="1"/>
  <c r="AD15" i="1"/>
  <c r="AD5" i="1"/>
  <c r="AD56" i="1"/>
  <c r="AD13" i="1"/>
  <c r="AD59" i="1"/>
  <c r="AD60" i="1"/>
  <c r="AD26" i="1"/>
  <c r="AD61" i="1"/>
  <c r="AD62" i="1"/>
  <c r="AD64" i="1"/>
  <c r="AD18" i="1"/>
  <c r="AD63" i="1"/>
  <c r="AD21" i="1"/>
  <c r="AD19" i="1"/>
  <c r="AD29" i="1"/>
  <c r="AD65" i="1"/>
  <c r="AD25" i="1"/>
  <c r="AD30" i="1"/>
  <c r="AD66" i="1"/>
  <c r="AD36" i="1"/>
  <c r="AD67" i="1"/>
  <c r="AD33" i="1"/>
  <c r="AD70" i="1"/>
  <c r="AD68" i="1"/>
  <c r="AD58" i="1"/>
  <c r="AD34" i="1"/>
  <c r="AD73" i="1"/>
  <c r="AD76" i="1"/>
  <c r="AD75" i="1"/>
  <c r="AD17" i="1"/>
  <c r="AD31" i="1"/>
  <c r="AD16" i="1"/>
  <c r="AD74" i="1"/>
  <c r="AD69" i="1"/>
  <c r="AD72" i="1"/>
  <c r="AD71" i="1"/>
  <c r="AD32" i="1"/>
  <c r="O78" i="1"/>
  <c r="O79" i="1" s="1"/>
  <c r="O80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AB80" i="1"/>
  <c r="AB79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9" i="1" l="1"/>
  <c r="S80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U9" i="1" s="1"/>
  <c r="H78" i="1"/>
  <c r="U75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80" i="1" l="1"/>
  <c r="U79" i="1"/>
  <c r="U11" i="1"/>
  <c r="U36" i="1"/>
  <c r="U45" i="1"/>
  <c r="U72" i="1"/>
  <c r="U22" i="1"/>
  <c r="U4" i="1"/>
  <c r="U48" i="1"/>
  <c r="U46" i="1"/>
  <c r="U35" i="1"/>
  <c r="U29" i="1"/>
  <c r="U25" i="1"/>
  <c r="U3" i="1"/>
  <c r="U76" i="1"/>
  <c r="U67" i="1"/>
  <c r="U42" i="1"/>
  <c r="U59" i="1"/>
  <c r="U70" i="1"/>
  <c r="U17" i="1"/>
  <c r="U13" i="1"/>
  <c r="U7" i="1"/>
  <c r="U20" i="1"/>
  <c r="U24" i="1"/>
  <c r="U30" i="1"/>
  <c r="U12" i="1"/>
  <c r="U32" i="1"/>
  <c r="U37" i="1"/>
  <c r="U65" i="1"/>
  <c r="U71" i="1"/>
  <c r="U74" i="1"/>
  <c r="U68" i="1"/>
  <c r="U40" i="1"/>
  <c r="U54" i="1"/>
  <c r="U61" i="1"/>
  <c r="U52" i="1"/>
  <c r="U51" i="1"/>
  <c r="U64" i="1"/>
  <c r="U33" i="1"/>
  <c r="U5" i="1"/>
  <c r="U10" i="1"/>
  <c r="U38" i="1"/>
  <c r="U26" i="1"/>
  <c r="U8" i="1"/>
  <c r="U14" i="1"/>
  <c r="U15" i="1"/>
  <c r="U19" i="1"/>
  <c r="U28" i="1"/>
  <c r="U16" i="1"/>
  <c r="U18" i="1"/>
  <c r="U21" i="1"/>
  <c r="U6" i="1"/>
  <c r="U23" i="1"/>
  <c r="U27" i="1"/>
  <c r="U31" i="1"/>
  <c r="U34" i="1"/>
  <c r="U77" i="1"/>
  <c r="U78" i="1"/>
  <c r="U50" i="1"/>
  <c r="U62" i="1"/>
  <c r="U43" i="1"/>
  <c r="U49" i="1"/>
  <c r="U63" i="1"/>
  <c r="U39" i="1"/>
  <c r="U60" i="1"/>
  <c r="U73" i="1"/>
  <c r="U55" i="1"/>
  <c r="U58" i="1"/>
  <c r="U69" i="1"/>
  <c r="U41" i="1"/>
  <c r="U44" i="1"/>
  <c r="U56" i="1"/>
  <c r="U47" i="1"/>
  <c r="U57" i="1"/>
  <c r="U66" i="1"/>
  <c r="U53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80" i="1" l="1"/>
  <c r="W79" i="1"/>
  <c r="I78" i="1"/>
  <c r="V4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V52" i="1"/>
  <c r="V67" i="1"/>
  <c r="V61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44" i="1" l="1"/>
  <c r="V48" i="1"/>
  <c r="V59" i="1"/>
  <c r="V62" i="1"/>
  <c r="V79" i="1"/>
  <c r="V80" i="1"/>
  <c r="V60" i="1"/>
  <c r="V66" i="1"/>
  <c r="V56" i="1"/>
  <c r="V54" i="1"/>
  <c r="V41" i="1"/>
  <c r="V49" i="1"/>
  <c r="V73" i="1"/>
  <c r="V70" i="1"/>
  <c r="V58" i="1"/>
  <c r="V50" i="1"/>
  <c r="V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K79" i="1" s="1"/>
  <c r="K80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80" i="1" l="1"/>
  <c r="X79" i="1"/>
  <c r="P42" i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67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68" i="1" l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N79" i="1" s="1"/>
  <c r="N80" i="1" s="1"/>
  <c r="L74" i="1"/>
  <c r="L75" i="1" s="1"/>
  <c r="M69" i="1"/>
  <c r="AA59" i="1" l="1"/>
  <c r="AA80" i="1"/>
  <c r="AA79" i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L79" i="1" s="1"/>
  <c r="L80" i="1" s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78" i="1"/>
  <c r="Y79" i="1"/>
  <c r="Y80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M79" i="1" s="1"/>
  <c r="M80" i="1" s="1"/>
  <c r="Z78" i="1" l="1"/>
  <c r="Z79" i="1"/>
  <c r="Z80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AC32" i="1"/>
  <c r="AC8" i="1"/>
  <c r="AC18" i="1"/>
  <c r="AC27" i="1"/>
  <c r="AC54" i="1"/>
  <c r="AC48" i="1"/>
  <c r="AC53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80" i="1" l="1"/>
  <c r="AC79" i="1"/>
  <c r="AC57" i="1"/>
  <c r="AC68" i="1"/>
  <c r="AC63" i="1"/>
  <c r="AC45" i="1"/>
  <c r="AC17" i="1"/>
  <c r="AC3" i="1"/>
  <c r="AC4" i="1"/>
  <c r="AC31" i="1"/>
  <c r="AC36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<sst xmlns="http://schemas.openxmlformats.org/spreadsheetml/2006/main" count="896" uniqueCount="544">
  <si>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</si>
  <si>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</si>
  <si>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</si>
  <si>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</si>
  <si>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</si>
  <si>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</si>
  <si>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</si>
  <si>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</si>
  <si>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</si>
  <si>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</si>
  <si>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</si>
  <si>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</si>
  <si>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</si>
  <si>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</si>
  <si>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</si>
  <si>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</si>
  <si>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</si>
  <si>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</si>
  <si>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</si>
  <si>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</si>
  <si>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</si>
  <si>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</si>
  <si>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</si>
  <si>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</si>
  <si>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</si>
  <si>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</si>
  <si>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</si>
  <si>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</si>
  <si>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</si>
  <si>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</si>
  <si>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</si>
  <si>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</si>
  <si>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</si>
  <si>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</si>
  <si>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</si>
  <si>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</si>
  <si>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</si>
  <si>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</si>
  <si>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</si>
  <si>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</si>
  <si>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</si>
  <si>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</si>
  <si>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</si>
  <si>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</si>
  <si>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</si>
  <si>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</si>
  <si>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</si>
  <si>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</si>
  <si>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</si>
  <si>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</si>
  <si>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</si>
  <si>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</si>
  <si>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</si>
  <si>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</si>
  <si>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</si>
  <si>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</si>
  <si>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</si>
  <si>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</si>
  <si>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</si>
  <si>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</si>
  <si>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</si>
  <si>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</si>
  <si>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</si>
  <si>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</si>
  <si>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</si>
  <si>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</si>
  <si>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</si>
  <si>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</si>
  <si>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</si>
  <si>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</si>
  <si>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</si>
  <si>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</si>
  <si>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</si>
  <si>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</si>
  <si>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</si>
  <si>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</si>
  <si>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</si>
  <si>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</si>
  <si>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</si>
  <si>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</si>
  <si>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</si>
  <si>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</si>
  <si>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</si>
  <si>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</si>
  <si>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</si>
  <si>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</si>
  <si>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</si>
  <si>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</si>
  <si>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</si>
  <si>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</si>
  <si>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</si>
  <si>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</si>
  <si>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</si>
  <si>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</si>
  <si>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</si>
  <si>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</si>
  <si>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</si>
  <si>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</si>
  <si>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</si>
  <si>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</si>
  <si>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</si>
  <si>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</si>
  <si>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</si>
  <si>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</si>
  <si>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</si>
  <si>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</si>
  <si>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</si>
  <si>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</si>
  <si>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</si>
  <si>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</si>
  <si>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</si>
  <si>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</si>
  <si>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</si>
  <si>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</si>
  <si>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</si>
  <si>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</si>
  <si>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</si>
  <si>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</si>
  <si>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</si>
  <si>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</si>
  <si>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</si>
  <si>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</si>
  <si>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</si>
  <si>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</si>
  <si>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</si>
  <si>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</si>
  <si>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</si>
  <si>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</si>
  <si>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</si>
  <si>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</si>
  <si>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</si>
  <si>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</si>
  <si>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</si>
  <si>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</si>
  <si>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</si>
  <si>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</si>
  <si>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</si>
  <si>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</si>
  <si>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</si>
  <si>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</si>
  <si>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</si>
  <si>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</si>
  <si>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</si>
  <si>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</si>
  <si>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</si>
  <si>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</si>
  <si>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</si>
  <si>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</si>
  <si>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</si>
  <si>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</si>
  <si>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</si>
  <si>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</si>
  <si>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</si>
  <si>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</si>
  <si>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</si>
  <si>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</si>
  <si>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</si>
  <si>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</si>
  <si>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</si>
  <si>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</si>
  <si>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</si>
  <si>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</si>
  <si>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</si>
  <si>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</si>
  <si>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</si>
  <si>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</si>
  <si>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</si>
  <si>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</si>
  <si>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</si>
  <si>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</si>
  <si>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</si>
  <si>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</si>
  <si>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</si>
  <si>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</si>
  <si>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</si>
  <si>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</si>
  <si>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</si>
  <si>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</si>
  <si>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</si>
  <si>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</si>
  <si>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</si>
  <si>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</si>
  <si>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</si>
  <si>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</si>
  <si>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</si>
  <si>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</si>
  <si>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</si>
  <si>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</si>
  <si>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</si>
  <si>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</si>
  <si>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</si>
  <si>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</si>
  <si>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</si>
  <si>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</si>
  <si>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</si>
  <si>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</si>
  <si>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</si>
  <si>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</si>
  <si>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</si>
  <si>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</si>
  <si>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</si>
  <si>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</si>
  <si>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</si>
  <si>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</si>
  <si>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</si>
  <si>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</si>
  <si>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</si>
  <si>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</si>
  <si>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</si>
  <si>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</si>
  <si>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</si>
  <si>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</si>
  <si>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</si>
  <si>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</si>
  <si>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</si>
  <si>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</si>
  <si>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</si>
  <si>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</si>
  <si>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</si>
  <si>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</si>
  <si>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</si>
  <si>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</si>
  <si>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</si>
  <si>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</si>
  <si>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</si>
  <si>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</si>
  <si>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</si>
  <si>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</si>
  <si>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</si>
  <si>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</si>
  <si>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</si>
  <si>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</si>
  <si>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</si>
  <si>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</si>
  <si>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</si>
  <si>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</si>
  <si>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</si>
  <si>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</si>
  <si>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</si>
  <si>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</si>
  <si>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</si>
  <si>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</si>
  <si>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</si>
  <si>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</si>
  <si>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</si>
  <si>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</si>
  <si>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</si>
  <si>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</si>
  <si>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</si>
  <si>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</si>
  <si>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</si>
  <si>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</si>
  <si>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</si>
  <si>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</si>
  <si>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</si>
  <si>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</si>
  <si>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</si>
  <si>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</si>
  <si>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</si>
  <si>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</si>
  <si>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</si>
  <si>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</si>
  <si>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</si>
  <si>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</si>
  <si>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</si>
  <si>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</si>
  <si>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</si>
  <si>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</si>
  <si>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</si>
  <si>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</si>
  <si>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</si>
  <si>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</si>
  <si>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</si>
  <si>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</si>
  <si>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</si>
  <si>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</si>
  <si>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</si>
  <si>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</si>
  <si>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</si>
  <si>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</si>
  <si>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</si>
  <si>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</si>
  <si>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</si>
  <si>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</si>
  <si>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</si>
  <si>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</si>
  <si>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</si>
  <si>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</si>
  <si>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</si>
  <si>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</si>
  <si>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</si>
  <si>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</si>
  <si>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</si>
  <si>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</si>
  <si>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</si>
  <si>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</si>
  <si>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</si>
  <si>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</si>
  <si>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</si>
  <si>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</si>
  <si>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</si>
  <si>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</si>
  <si>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</si>
  <si>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</si>
  <si>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</si>
  <si>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</si>
  <si>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</si>
  <si>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</si>
  <si>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</si>
  <si>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</si>
  <si>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</si>
  <si>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</si>
  <si>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</si>
  <si>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</si>
  <si>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</si>
  <si>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</si>
  <si>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</si>
  <si>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</si>
  <si>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</si>
  <si>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</si>
  <si>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</si>
  <si>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</si>
  <si>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</si>
  <si>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</si>
  <si>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</si>
  <si>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</si>
  <si>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</si>
  <si>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</si>
  <si>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</si>
  <si>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</si>
  <si>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</si>
  <si>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</si>
  <si>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</si>
  <si>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</si>
  <si>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</si>
  <si>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</si>
  <si>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</si>
  <si>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</si>
  <si>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</si>
  <si>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</si>
  <si>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</si>
  <si>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</si>
  <si>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</si>
  <si>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</si>
  <si>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</si>
  <si>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</si>
  <si>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</si>
  <si>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</si>
  <si>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</si>
  <si>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</si>
  <si>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</si>
  <si>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</si>
  <si>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</si>
  <si>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</si>
  <si>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</si>
  <si>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</si>
  <si>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</si>
  <si>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</si>
  <si>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</si>
  <si>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</si>
  <si>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</si>
  <si>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</si>
  <si>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</si>
  <si>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</si>
  <si>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</si>
  <si>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</si>
  <si>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</si>
  <si>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</si>
  <si>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</si>
  <si>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</si>
  <si>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</si>
  <si>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</si>
  <si>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</si>
  <si>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</si>
  <si>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</si>
  <si>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</si>
  <si>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</si>
  <si>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</si>
  <si>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</si>
  <si>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</si>
  <si>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</si>
  <si>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</si>
  <si>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</si>
  <si>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</si>
  <si>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</si>
  <si>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</si>
  <si>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</si>
  <si>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</si>
  <si>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</si>
  <si>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</si>
  <si>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</si>
  <si>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</si>
  <si>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</si>
  <si>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</si>
  <si>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</si>
  <si>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</si>
  <si>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</si>
  <si>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</si>
  <si>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</si>
  <si>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</si>
  <si>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</si>
  <si>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</si>
  <si>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</si>
  <si>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</si>
  <si>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</si>
  <si>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</si>
  <si>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</si>
  <si>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</si>
  <si>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</si>
  <si>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</si>
  <si>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</si>
  <si>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</si>
  <si>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</si>
  <si>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</si>
  <si>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</si>
  <si>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</si>
  <si>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</si>
  <si>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</si>
  <si>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</si>
  <si>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</si>
  <si>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</si>
  <si>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</si>
  <si>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</si>
  <si>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</si>
  <si>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</si>
  <si>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</si>
  <si>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</si>
  <si>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</si>
  <si>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</si>
  <si>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</si>
  <si>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</si>
  <si>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</si>
  <si>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</si>
  <si>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</si>
  <si>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</si>
  <si>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</si>
  <si>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</si>
  <si>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</si>
  <si>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</si>
  <si>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</si>
  <si>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</si>
  <si>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</si>
  <si>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</si>
  <si>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</si>
  <si>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</si>
  <si>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</si>
  <si>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</si>
  <si>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</si>
  <si>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</si>
  <si>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</si>
  <si>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</si>
  <si>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</si>
  <si>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</si>
  <si>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</si>
  <si>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</si>
  <si>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</si>
  <si>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</si>
  <si>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</si>
  <si>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</si>
  <si>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</si>
  <si>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</si>
  <si>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</si>
  <si>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</si>
  <si>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</si>
  <si>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</si>
  <si>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</si>
  <si>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</si>
  <si>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</si>
  <si>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</si>
  <si>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</si>
  <si>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</si>
  <si>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</si>
  <si>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</si>
  <si>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</si>
  <si>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</si>
  <si>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</si>
  <si>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</si>
  <si>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</si>
  <si>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</si>
  <si>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</si>
  <si>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</si>
  <si>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</si>
  <si>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</si>
  <si>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</si>
  <si>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</si>
  <si>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</si>
  <si>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</si>
  <si>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</si>
  <si>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</si>
  <si>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</si>
  <si>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</si>
  <si>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</si>
  <si>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</si>
  <si>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</si>
  <si>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</si>
  <si>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</si>
  <si>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</si>
  <si>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</si>
  <si>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</si>
  <si>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</si>
  <si>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</si>
  <si>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</si>
  <si>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</si>
  <si>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</si>
  <si>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</si>
  <si>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</si>
  <si>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</si>
  <si>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</si>
  <si>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</si>
  <si>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</si>
  <si>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</si>
  <si>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</si>
  <si>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</si>
  <si>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</si>
  <si>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</si>
  <si>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</si>
  <si>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</si>
  <si>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</si>
  <si>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</si>
  <si>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</si>
  <si>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</si>
  <si>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</si>
  <si>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</si>
  <si>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</si>
  <si>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</si>
  <si>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Artimes</t>
  </si>
  <si>
    <t>NC Apollo</t>
  </si>
  <si>
    <t>50 ml</t>
  </si>
  <si>
    <t>150 ml</t>
  </si>
  <si>
    <t>Калашникова А.Д.</t>
  </si>
  <si>
    <t>М.А. Дибиров</t>
  </si>
  <si>
    <t xml:space="preserve">Заведующий отделения: Д.В. Карчевский </t>
  </si>
  <si>
    <t>Контроль места пункции, повязка на 6 ч.</t>
  </si>
  <si>
    <t>Михайлов С.В.</t>
  </si>
  <si>
    <t>Логвина Е.В.</t>
  </si>
  <si>
    <t>Правый</t>
  </si>
  <si>
    <t>11:06</t>
  </si>
  <si>
    <t>неровность контуров проксимального и среднего сегментов, кровоток TIMI III.</t>
  </si>
  <si>
    <t>проходим, контуры ровные</t>
  </si>
  <si>
    <t>проходим, контуры ровные, кровоток TIMI III.</t>
  </si>
  <si>
    <t>острая окклюзия среднего сегмента, неровности контуров дистального сегмента. Rentrop 3, TIMI 0. TTG4.</t>
  </si>
  <si>
    <t>Коллатеральный кровоток: сформирован, из бассена ПНА в дистальный сегмент ПКА.</t>
  </si>
  <si>
    <t>Совместно с д/кардиологом: с учетом клинических данных, ЭКГ и КАГ рекомендована реваскуляризация бассейна ПКА.</t>
  </si>
  <si>
    <t xml:space="preserve">Устье ПКА катетеризировано проводниковым катетером Launcher JR 3,5 6Fr. Коронарный проводник Shunmei заведен в дистальный сегмент ПКА. Мануальная тромбаспирация катетером Export Advance, получен крупной тромб 20*3,5 мм. Выявлен субтотальный стеноз среднего сегмента. В зону стеноза позиционирован и имплантирован DES Resolute Integrity 4,0-22 мм давлением до 12 атм.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</si>
</sst>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1" fillId="3" borderId="0" applyNumberFormat="0" applyBorder="0" applyAlignment="0" applyProtection="0"/>
    <xf numFmtId="164" fontId="11" fillId="3" borderId="0" applyNumberFormat="0" applyFill="0" applyAlignment="0"/>
    <xf numFmtId="0" fontId="15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49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10" fillId="7" borderId="5" xfId="5" applyBorder="1" applyAlignment="1">
      <alignment horizontal="centerContinuous" vertical="center"/>
    </xf>
    <xf numFmtId="0" fontId="10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Protection="1">
      <protection locked="0"/>
    </xf>
    <xf numFmtId="165" fontId="17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29" fillId="0" borderId="0" xfId="0" applyFont="1" applyAlignment="1">
      <alignment horizontal="centerContinuous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horizontal="centerContinuous" vertical="top" wrapText="1"/>
      <protection locked="0"/>
    </xf>
    <xf numFmtId="0" fontId="34" fillId="0" borderId="0" xfId="0" applyFont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Alignment="1" applyProtection="1">
      <alignment horizontal="left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37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17" fillId="0" borderId="9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Alignment="1">
      <alignment horizontal="centerContinuous"/>
    </xf>
    <xf numFmtId="0" fontId="51" fillId="9" borderId="21" xfId="7" applyFont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18" fillId="0" borderId="0" xfId="0" applyFont="1" applyAlignment="1">
      <alignment horizontal="center"/>
    </xf>
    <xf numFmtId="0" fontId="51" fillId="9" borderId="21" xfId="7" applyFont="1" applyAlignment="1" applyProtection="1">
      <alignment horizontal="left" vertical="center"/>
    </xf>
    <xf numFmtId="0" fontId="25" fillId="0" borderId="12" xfId="0" applyFont="1" applyBorder="1" applyAlignment="1">
      <alignment horizontal="justify" vertical="center" wrapText="1"/>
    </xf>
    <xf numFmtId="0" fontId="26" fillId="0" borderId="13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justify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top" wrapText="1"/>
      <protection locked="0"/>
    </xf>
    <xf numFmtId="0" fontId="24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4" fillId="0" borderId="0" xfId="0" applyFont="1" applyAlignment="1">
      <alignment horizontal="left" vertical="center" wrapText="1"/>
    </xf>
    <xf numFmtId="20" fontId="18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3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vertical="top"/>
    </xf>
    <xf numFmtId="0" fontId="56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40" fillId="0" borderId="0" xfId="0" applyFont="1" applyAlignment="1">
      <alignment horizontal="centerContinuous" vertical="center"/>
    </xf>
    <xf numFmtId="0" fontId="52" fillId="0" borderId="0" xfId="0" applyFont="1" applyAlignment="1" applyProtection="1">
      <alignment vertical="top" wrapText="1"/>
      <protection locked="0"/>
    </xf>
    <xf numFmtId="0" fontId="56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8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25" fillId="0" borderId="32" xfId="0" applyFont="1" applyBorder="1" applyAlignment="1">
      <alignment horizontal="justify" vertical="center" wrapText="1"/>
    </xf>
    <xf numFmtId="0" fontId="25" fillId="0" borderId="34" xfId="0" applyFont="1" applyBorder="1" applyAlignment="1">
      <alignment horizontal="justify" vertical="center" wrapText="1"/>
    </xf>
    <xf numFmtId="0" fontId="58" fillId="0" borderId="35" xfId="0" applyFont="1" applyBorder="1" applyAlignment="1" applyProtection="1">
      <alignment horizontal="center" vertical="center"/>
      <protection locked="0"/>
    </xf>
    <xf numFmtId="0" fontId="58" fillId="0" borderId="36" xfId="0" applyFont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>
      <alignment horizont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0" fontId="58" fillId="0" borderId="35" xfId="0" applyFont="1" applyBorder="1" applyAlignment="1" applyProtection="1">
      <alignment horizontal="justify" vertical="center" wrapText="1"/>
      <protection locked="0"/>
    </xf>
    <xf numFmtId="0" fontId="7" fillId="0" borderId="0" xfId="0" applyFont="1"/>
    <xf numFmtId="0" fontId="60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8" fillId="0" borderId="0" xfId="0" applyFont="1"/>
    <xf numFmtId="0" fontId="6" fillId="0" borderId="0" xfId="0" applyFont="1"/>
    <xf numFmtId="0" fontId="17" fillId="0" borderId="0" xfId="0" applyFont="1" applyAlignment="1" applyProtection="1">
      <alignment horizontal="justify" vertical="top"/>
      <protection locked="0"/>
    </xf>
    <xf numFmtId="0" fontId="27" fillId="7" borderId="15" xfId="5" applyFont="1" applyBorder="1" applyAlignment="1" applyProtection="1">
      <alignment horizontal="left" vertical="center"/>
    </xf>
    <xf numFmtId="0" fontId="48" fillId="0" borderId="20" xfId="0" applyFont="1" applyBorder="1" applyAlignment="1" applyProtection="1">
      <alignment horizontal="left" vertical="center" wrapText="1"/>
      <protection locked="0"/>
    </xf>
    <xf numFmtId="0" fontId="47" fillId="0" borderId="19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8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31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7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3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8" fillId="0" borderId="20" xfId="0" applyNumberFormat="1" applyFont="1" applyBorder="1" applyAlignment="1">
      <alignment horizontal="left" vertical="center" wrapText="1"/>
    </xf>
    <xf numFmtId="0" fontId="48" fillId="0" borderId="20" xfId="0" applyFont="1" applyBorder="1" applyAlignment="1">
      <alignment horizontal="left" vertical="center" wrapText="1"/>
    </xf>
    <xf numFmtId="0" fontId="66" fillId="0" borderId="12" xfId="0" applyFont="1" applyBorder="1" applyAlignment="1">
      <alignment horizontal="centerContinuous"/>
    </xf>
    <xf numFmtId="0" fontId="20" fillId="0" borderId="0" xfId="0" applyFont="1" applyAlignment="1">
      <alignment horizontal="left"/>
    </xf>
    <xf numFmtId="20" fontId="31" fillId="0" borderId="13" xfId="0" applyNumberFormat="1" applyFont="1" applyBorder="1" applyAlignment="1">
      <alignment horizontal="left" wrapText="1"/>
    </xf>
    <xf numFmtId="0" fontId="17" fillId="0" borderId="13" xfId="0" applyFont="1" applyBorder="1" applyAlignment="1" applyProtection="1">
      <alignment horizontal="fill" vertical="center"/>
      <protection hidden="1"/>
    </xf>
    <xf numFmtId="14" fontId="58" fillId="0" borderId="26" xfId="0" applyNumberFormat="1" applyFont="1" applyBorder="1" applyAlignment="1" applyProtection="1">
      <alignment horizontal="center" vertical="center"/>
      <protection locked="0"/>
    </xf>
    <xf numFmtId="166" fontId="24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8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9" fillId="0" borderId="8" xfId="0" applyFont="1" applyBorder="1" applyAlignment="1">
      <alignment horizontal="left" vertical="center"/>
    </xf>
    <xf numFmtId="0" fontId="18" fillId="0" borderId="4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>
      <alignment horizontal="left"/>
    </xf>
    <xf numFmtId="0" fontId="5" fillId="0" borderId="8" xfId="0" applyFont="1" applyBorder="1"/>
    <xf numFmtId="0" fontId="39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9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9" fillId="8" borderId="18" xfId="6" applyFont="1" applyBorder="1" applyAlignment="1" applyProtection="1">
      <alignment horizontal="left" vertical="center"/>
      <protection locked="0"/>
    </xf>
    <xf numFmtId="0" fontId="24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2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10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3" fillId="13" borderId="0" xfId="0" applyFont="1" applyFill="1" applyAlignment="1">
      <alignment horizontal="left"/>
    </xf>
    <xf numFmtId="0" fontId="3" fillId="0" borderId="0" xfId="0" applyFont="1"/>
    <xf numFmtId="0" fontId="71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0" fillId="0" borderId="0" xfId="0" applyFont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53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3" fillId="0" borderId="0" xfId="0" applyFont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1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6" zoomScaleNormal="100" zoomScaleSheetLayoutView="100" zoomScalePageLayoutView="90" workbookViewId="0">
      <selection activeCell="J8" sqref="J8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45771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0.71875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0.72569444444444453</v>
      </c>
      <c r="C10" s="54"/>
      <c r="D10" s="94" t="s">
        <v>173</v>
      </c>
      <c r="E10" s="92"/>
      <c r="F10" s="92"/>
      <c r="G10" s="23" t="s">
        <v>153</v>
      </c>
      <c r="H10" s="25"/>
    </row>
    <row r="11" spans="1:8" ht="17.25" thickTop="1" thickBot="1">
      <c r="A11" s="88" t="s">
        <v>192</v>
      </c>
      <c r="B11" s="200" t="s">
        <v>533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24446</v>
      </c>
      <c r="C12" s="11"/>
      <c r="D12" s="94" t="s">
        <v>301</v>
      </c>
      <c r="E12" s="92"/>
      <c r="F12" s="92"/>
      <c r="G12" s="23" t="s">
        <v>534</v>
      </c>
      <c r="H12" s="25"/>
    </row>
    <row r="13" spans="1:8" ht="15.75">
      <c r="A13" s="14" t="s">
        <v>10</v>
      </c>
      <c r="B13" s="29">
        <f>DATEDIF(B12,B8,"y")</f>
        <v>58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11606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395</v>
      </c>
      <c r="H15" s="167" t="s">
        <v>536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4" t="s">
        <v>397</v>
      </c>
      <c r="H16" s="162">
        <v>4760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384</v>
      </c>
      <c r="H17" s="166">
        <f>H16*0.0019</f>
        <v>9.0440000000000005</v>
      </c>
    </row>
    <row r="18" spans="1:8" ht="14.45" customHeight="1">
      <c r="A18" s="56" t="s">
        <v>188</v>
      </c>
      <c r="B18" s="86" t="s">
        <v>535</v>
      </c>
      <c r="C18"/>
      <c r="D18" s="27" t="s">
        <v>210</v>
      </c>
      <c r="E18" s="27"/>
      <c r="F18" s="27"/>
      <c r="G18" s="84" t="s">
        <v>189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538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270</v>
      </c>
      <c r="B22" s="228" t="s">
        <v>537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23"/>
      <c r="C23" s="223"/>
      <c r="D23" s="223"/>
      <c r="E23" s="223"/>
      <c r="F23" s="223"/>
      <c r="G23" s="223"/>
      <c r="H23" s="230"/>
    </row>
    <row r="24" spans="1:8" ht="14.45" customHeight="1">
      <c r="A24" s="59"/>
      <c r="B24" s="223"/>
      <c r="C24" s="223"/>
      <c r="D24" s="223"/>
      <c r="E24" s="223"/>
      <c r="F24" s="223"/>
      <c r="G24" s="223"/>
      <c r="H24" s="230"/>
    </row>
    <row r="25" spans="1:8" ht="14.45" customHeight="1">
      <c r="A25" s="37"/>
      <c r="B25" s="223"/>
      <c r="C25" s="223"/>
      <c r="D25" s="223"/>
      <c r="E25" s="223"/>
      <c r="F25" s="223"/>
      <c r="G25" s="223"/>
      <c r="H25" s="230"/>
    </row>
    <row r="26" spans="1:8" ht="14.45" customHeight="1">
      <c r="A26" s="39"/>
      <c r="B26" s="231"/>
      <c r="C26" s="231"/>
      <c r="D26" s="231"/>
      <c r="E26" s="231"/>
      <c r="F26" s="231"/>
      <c r="G26" s="231"/>
      <c r="H26" s="232"/>
    </row>
    <row r="27" spans="1:8" ht="14.45" customHeight="1">
      <c r="A27" s="58" t="s">
        <v>271</v>
      </c>
      <c r="B27" s="228" t="s">
        <v>539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23"/>
      <c r="C28" s="223"/>
      <c r="D28" s="223"/>
      <c r="E28" s="223"/>
      <c r="F28" s="223"/>
      <c r="G28" s="223"/>
      <c r="H28" s="230"/>
    </row>
    <row r="29" spans="1:8" ht="14.45" customHeight="1">
      <c r="A29" s="37"/>
      <c r="B29" s="223"/>
      <c r="C29" s="223"/>
      <c r="D29" s="223"/>
      <c r="E29" s="223"/>
      <c r="F29" s="223"/>
      <c r="G29" s="223"/>
      <c r="H29" s="230"/>
    </row>
    <row r="30" spans="1:8" ht="14.45" customHeight="1">
      <c r="A30" s="31"/>
      <c r="B30" s="223"/>
      <c r="C30" s="223"/>
      <c r="D30" s="223"/>
      <c r="E30" s="223"/>
      <c r="F30" s="223"/>
      <c r="G30" s="223"/>
      <c r="H30" s="230"/>
    </row>
    <row r="31" spans="1:8" ht="14.45" customHeight="1">
      <c r="A31" s="32"/>
      <c r="B31" s="231"/>
      <c r="C31" s="231"/>
      <c r="D31" s="231"/>
      <c r="E31" s="231"/>
      <c r="F31" s="231"/>
      <c r="G31" s="231"/>
      <c r="H31" s="232"/>
    </row>
    <row r="32" spans="1:8" ht="14.45" customHeight="1">
      <c r="A32" s="58" t="s">
        <v>272</v>
      </c>
      <c r="B32" s="228" t="s">
        <v>540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23"/>
      <c r="C33" s="223"/>
      <c r="D33" s="223"/>
      <c r="E33" s="223"/>
      <c r="F33" s="223"/>
      <c r="G33" s="223"/>
      <c r="H33" s="230"/>
    </row>
    <row r="34" spans="1:8" ht="15.6" customHeight="1">
      <c r="A34" s="37"/>
      <c r="B34" s="223"/>
      <c r="C34" s="223"/>
      <c r="D34" s="223"/>
      <c r="E34" s="223"/>
      <c r="F34" s="223"/>
      <c r="G34" s="223"/>
      <c r="H34" s="230"/>
    </row>
    <row r="35" spans="1:8" ht="14.45" customHeight="1">
      <c r="A35" s="37"/>
      <c r="B35" s="223"/>
      <c r="C35" s="223"/>
      <c r="D35" s="223"/>
      <c r="E35" s="223"/>
      <c r="F35" s="223"/>
      <c r="G35" s="223"/>
      <c r="H35" s="230"/>
    </row>
    <row r="36" spans="1:8" ht="15.6" customHeight="1">
      <c r="A36" s="37"/>
      <c r="B36" s="223"/>
      <c r="C36" s="223"/>
      <c r="D36" s="223"/>
      <c r="E36" s="223"/>
      <c r="F36" s="223"/>
      <c r="G36" s="223"/>
      <c r="H36" s="230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 t="s">
        <v>541</v>
      </c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542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2"/>
      <c r="C49" s="203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522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G9" sqref="G9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3" t="s">
        <v>208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2" t="s">
        <v>216</v>
      </c>
      <c r="D8" s="242"/>
      <c r="E8" s="242"/>
      <c r="F8" s="187">
        <v>1</v>
      </c>
      <c r="G8" s="117" t="s">
        <v>307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2"/>
      <c r="D9" s="242"/>
      <c r="E9" s="242"/>
      <c r="F9" s="187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6"/>
      <c r="C10" s="246"/>
      <c r="D10" s="246"/>
      <c r="E10" s="246"/>
      <c r="F10" s="190"/>
      <c r="G10" s="117"/>
      <c r="H10" s="38"/>
    </row>
    <row r="11" spans="1:8">
      <c r="A11" s="189"/>
      <c r="B11" s="193"/>
      <c r="C11" s="196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45771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0.72569444444444453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0.76041666666666663</v>
      </c>
      <c r="C14" s="11"/>
      <c r="D14" s="94" t="s">
        <v>173</v>
      </c>
      <c r="E14" s="92"/>
      <c r="F14" s="92"/>
      <c r="G14" s="79" t="str">
        <f>КАГ!G10</f>
        <v>Мелека Е.А.</v>
      </c>
      <c r="H14" s="90" t="str">
        <f>IF(ISBLANK(КАГ!H10),"",КАГ!H10)</f>
        <v/>
      </c>
    </row>
    <row r="15" spans="1:8" ht="16.5" thickBot="1">
      <c r="A15" s="161" t="s">
        <v>383</v>
      </c>
      <c r="B15" s="185">
        <f>IF(B14&lt;B13,B14+1,B14)-B13</f>
        <v>3.4722222222222099E-2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Михайлов С.В.</v>
      </c>
      <c r="C16" s="197">
        <f>LEN(КАГ!B11)</f>
        <v>13</v>
      </c>
      <c r="D16" s="94" t="s">
        <v>301</v>
      </c>
      <c r="E16" s="92"/>
      <c r="F16" s="92"/>
      <c r="G16" s="79" t="str">
        <f>КАГ!G12</f>
        <v>Логвина Е.В.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24446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11606</v>
      </c>
      <c r="C19" s="68"/>
      <c r="D19" s="68"/>
      <c r="E19" s="68"/>
      <c r="F19" s="68"/>
      <c r="G19" s="163" t="s">
        <v>395</v>
      </c>
      <c r="H19" s="178" t="str">
        <f>КАГ!H15</f>
        <v>11:06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397</v>
      </c>
      <c r="H20" s="179">
        <f>КАГ!H16</f>
        <v>4760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384</v>
      </c>
      <c r="H21" s="166">
        <f>КАГ!H17</f>
        <v>9.0440000000000005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/>
      </c>
      <c r="H22" s="182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387</v>
      </c>
      <c r="B23" s="170" t="s">
        <v>386</v>
      </c>
      <c r="C23" s="160"/>
      <c r="D23" s="160"/>
      <c r="E23" s="160"/>
      <c r="F23" s="160"/>
      <c r="G23"/>
      <c r="H23" s="38"/>
    </row>
    <row r="24" spans="1:8" ht="14.45" customHeight="1">
      <c r="A24" s="180" t="s">
        <v>385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3" t="s">
        <v>543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5" t="s">
        <v>391</v>
      </c>
      <c r="B38" s="173"/>
      <c r="C38" s="174"/>
      <c r="D38" s="174"/>
      <c r="E38" s="183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388</v>
      </c>
      <c r="B39" s="69" t="s">
        <v>390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389</v>
      </c>
      <c r="B40" s="176" t="s">
        <v>527</v>
      </c>
      <c r="C40" s="119"/>
      <c r="D40" s="247" t="s">
        <v>532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8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528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3" t="s">
        <v>368</v>
      </c>
      <c r="B52" s="234"/>
      <c r="C52" s="234"/>
      <c r="D52" s="234"/>
      <c r="E52" s="234"/>
      <c r="F52" s="235"/>
      <c r="G52"/>
      <c r="H52" s="38"/>
    </row>
    <row r="53" spans="1:8" ht="15" customHeight="1">
      <c r="A53" s="236"/>
      <c r="B53" s="237"/>
      <c r="C53" s="237"/>
      <c r="D53" s="237"/>
      <c r="E53" s="237"/>
      <c r="F53" s="238"/>
      <c r="G53" s="73" t="str">
        <f>IF(ISBLANK(H13),"",H13)</f>
        <v/>
      </c>
      <c r="H53" s="63"/>
    </row>
    <row r="54" spans="1:8">
      <c r="A54" s="239"/>
      <c r="B54" s="240"/>
      <c r="C54" s="240"/>
      <c r="D54" s="240"/>
      <c r="E54" s="240"/>
      <c r="F54" s="241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6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неровность контуров проксимального и среднего сегментов, кровоток TIMI III.
Бассейн  ОА:   проходим, контуры ровные, кровоток TIMI III.
Бассейн ПКА:   острая окклюзия среднего сегмента, неровности контуров дистального сегмента. Rentrop 3, TIMI 0. TTG4.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8" sqref="B18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45771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1" t="str">
        <f>КАГ!$B$11</f>
        <v>Михайлов С.В.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24446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58</v>
      </c>
    </row>
    <row r="7" spans="1:4">
      <c r="A7" s="37"/>
      <c r="B7"/>
      <c r="C7" s="100" t="s">
        <v>12</v>
      </c>
      <c r="D7" s="102">
        <f>КАГ!$B$14</f>
        <v>11606</v>
      </c>
    </row>
    <row r="8" spans="1:4">
      <c r="A8" s="191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1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2"/>
      <c r="B10" s="30"/>
      <c r="C10" s="149" t="s">
        <v>13</v>
      </c>
      <c r="D10" s="150">
        <f>КАГ!$B$8</f>
        <v>45771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323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321</v>
      </c>
      <c r="C16" s="134" t="s">
        <v>472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367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512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1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6" type="noConversion"/>
  <dataValidations count="11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:B17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ВЫП.Список_Расходка_10</formula1>
    </dataValidation>
    <dataValidation type="list" allowBlank="1" showInputMessage="1" sqref="B20: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481</v>
      </c>
      <c r="G3" s="3" t="s">
        <v>482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396</v>
      </c>
      <c r="F5" t="s">
        <v>131</v>
      </c>
      <c r="G5" s="3" t="s">
        <v>482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481</v>
      </c>
      <c r="G13" s="3" t="s">
        <v>483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391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392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484</v>
      </c>
      <c r="V17" t="s">
        <v>393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499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496</v>
      </c>
      <c r="AN1" s="2" t="s">
        <v>490</v>
      </c>
      <c r="AO1" t="s">
        <v>354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307</v>
      </c>
      <c r="AO2" s="206" t="s">
        <v>492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485</v>
      </c>
      <c r="AO3" t="s">
        <v>493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400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498</v>
      </c>
      <c r="AO4" t="s">
        <v>495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401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494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402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497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491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404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405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406</v>
      </c>
      <c r="AI10" t="s">
        <v>353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407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408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409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488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410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411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412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413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414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415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416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501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417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418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503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419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505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420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421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422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423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424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486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425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426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427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428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487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429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402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489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430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431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432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433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406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374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434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435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436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437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438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439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440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441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442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443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</v>
      </c>
      <c r="X54" s="114" t="str">
        <f>IFERROR(INDEX(Расходка[Наименование расходного материала],MATCH(Расходка[[#This Row],[№]],Поиск_расходки[Индекс7],0)),"")</f>
        <v>Shunmei</v>
      </c>
      <c r="Y54" s="114" t="str">
        <f>IFERROR(INDEX(Расходка[Наименование расходного материала],MATCH(Расходка[[#This Row],[№]],Поиск_расходки[Индекс8],0)),"")</f>
        <v>Shunmei</v>
      </c>
      <c r="Z54" s="114" t="str">
        <f>IFERROR(INDEX(Расходка[Наименование расходного материала],MATCH(Расходка[[#This Row],[№]],Поиск_расходки[Индекс9],0)),"")</f>
        <v>Shunmei</v>
      </c>
      <c r="AA54" s="114" t="str">
        <f>IFERROR(INDEX(Расходка[Наименование расходного материала],MATCH(Расходка[[#This Row],[№]],Поиск_расходки[Индекс10],0)),"")</f>
        <v>Shunmei</v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444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5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445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446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BMS, Integtity</v>
      </c>
      <c r="X57" s="114" t="str">
        <f>IFERROR(INDEX(Расходка[Наименование расходного материала],MATCH(Расходка[[#This Row],[№]],Поиск_расходки[Индекс7],0)),"")</f>
        <v>BMS, Integtity</v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447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Calipso</v>
      </c>
      <c r="X58" s="114" t="str">
        <f>IFERROR(INDEX(Расходка[Наименование расходного материала],MATCH(Расходка[[#This Row],[№]],Поиск_расходки[Индекс7],0)),"")</f>
        <v>DES, Calipso</v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448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2" t="s">
        <v>524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Metafor</v>
      </c>
      <c r="X59" s="114" t="str">
        <f>IFERROR(INDEX(Расходка[Наименование расходного материала],MATCH(Расходка[[#This Row],[№]],Поиск_расходки[Индекс7],0)),"")</f>
        <v>DES, Metafor</v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449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5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NanoMed</v>
      </c>
      <c r="X60" s="114" t="str">
        <f>IFERROR(INDEX(Расходка[Наименование расходного материала],MATCH(Расходка[[#This Row],[№]],Поиск_расходки[Индекс7],0)),"")</f>
        <v>DES, NanoMed</v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450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1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411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2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451</v>
      </c>
    </row>
    <row r="63" spans="1:33">
      <c r="A63">
        <f>ROW(Расходка[[#This Row],[Тип расходного материала ]])-1</f>
        <v>62</v>
      </c>
      <c r="B63" t="s">
        <v>6</v>
      </c>
      <c r="C63" s="159" t="s">
        <v>382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Firehawk</v>
      </c>
      <c r="X63" s="114" t="str">
        <f>IFERROR(INDEX(Расходка[Наименование расходного материала],MATCH(Расходка[[#This Row],[№]],Поиск_расходки[Индекс7],0)),"")</f>
        <v>DES, Firehawk</v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452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381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4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453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5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454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6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455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322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учёта'!$B$16,Расходка[[#This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0</v>
      </c>
      <c r="J67" s="194">
        <f>IF(ISNUMBER(SEARCH('Карта учёта'!$B$18,Расходка[[#This Row],[Наименование расходного материала]])),MAX($J$1:J66)+1,0)</f>
        <v>66</v>
      </c>
      <c r="K67" s="194">
        <f>IF(ISNUMBER(SEARCH('Карта учёта'!$B$19,Расходка[[#This Row],[Наименование расходного материала]])),MAX($K$1:K66)+1,0)</f>
        <v>66</v>
      </c>
      <c r="L67" s="194">
        <f>IF(ISNUMBER(SEARCH('Карта учёта'!$B$20,Расходка[[#This Row],[Наименование расходного материала]])),MAX($L$1:L66)+1,0)</f>
        <v>66</v>
      </c>
      <c r="M67" s="194">
        <f>IF(ISNUMBER(SEARCH('Карта учёта'!$B$21,Расходка[[#This Row],[Наименование расходного материала]])),MAX($M$1:M66)+1,0)</f>
        <v>66</v>
      </c>
      <c r="N67" s="194">
        <f>IF(ISNUMBER(SEARCH('Карта учёта'!$B$22,Расходка[[#This Row],[Наименование расходного материала]])),MAX($N$1:N66)+1,0)</f>
        <v>66</v>
      </c>
      <c r="O67" s="194">
        <f>IF(ISNUMBER(SEARCH('Карта учёта'!$B$23,Расходка[[#This Row],[Наименование расходного материала]])),MAX($O$1:O66)+1,0)</f>
        <v>66</v>
      </c>
      <c r="P67" s="194">
        <f>IF(ISNUMBER(SEARCH('Карта учёта'!$B$24,Расходка[[#This Row],[Наименование расходного материала]])),MAX($P$1:P66)+1,0)</f>
        <v>66</v>
      </c>
      <c r="Q67" s="194">
        <f>IF(ISNUMBER(SEARCH('Карта учёта'!$B$25,Расходка[[#This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>Guidezilla™ II 6F</v>
      </c>
      <c r="X67" s="195" t="str">
        <f>IFERROR(INDEX(Расходка[Наименование расходного материала],MATCH(Расходка[[#This Row],[№]],Поиск_расходки[Индекс7],0)),"")</f>
        <v>Guidezilla™ II 6F</v>
      </c>
      <c r="Y67" s="195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5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5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5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5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5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456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341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учёта'!$B$16,Расходка[[#This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0</v>
      </c>
      <c r="J68" s="194">
        <f>IF(ISNUMBER(SEARCH('Карта учёта'!$B$18,Расходка[[#This Row],[Наименование расходного материала]])),MAX($J$1:J67)+1,0)</f>
        <v>67</v>
      </c>
      <c r="K68" s="194">
        <f>IF(ISNUMBER(SEARCH('Карта учёта'!$B$19,Расходка[[#This Row],[Наименование расходного материала]])),MAX($K$1:K67)+1,0)</f>
        <v>67</v>
      </c>
      <c r="L68" s="194">
        <f>IF(ISNUMBER(SEARCH('Карта учёта'!$B$20,Расходка[[#This Row],[Наименование расходного материала]])),MAX($L$1:L67)+1,0)</f>
        <v>67</v>
      </c>
      <c r="M68" s="194">
        <f>IF(ISNUMBER(SEARCH('Карта учёта'!$B$21,Расходка[[#This Row],[Наименование расходного материала]])),MAX($M$1:M67)+1,0)</f>
        <v>67</v>
      </c>
      <c r="N68" s="194">
        <f>IF(ISNUMBER(SEARCH('Карта учёта'!$B$22,Расходка[[#This Row],[Наименование расходного материала]])),MAX($N$1:N67)+1,0)</f>
        <v>67</v>
      </c>
      <c r="O68" s="194">
        <f>IF(ISNUMBER(SEARCH('Карта учёта'!$B$23,Расходка[[#This Row],[Наименование расходного материала]])),MAX($O$1:O67)+1,0)</f>
        <v>67</v>
      </c>
      <c r="P68" s="194">
        <f>IF(ISNUMBER(SEARCH('Карта учёта'!$B$24,Расходка[[#This Row],[Наименование расходного материала]])),MAX($P$1:P67)+1,0)</f>
        <v>67</v>
      </c>
      <c r="Q68" s="194">
        <f>IF(ISNUMBER(SEARCH('Карта учёта'!$B$25,Расходка[[#This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>Telescope ™ II 6F</v>
      </c>
      <c r="X68" s="195" t="str">
        <f>IFERROR(INDEX(Расходка[Наименование расходного материала],MATCH(Расходка[[#This Row],[№]],Поиск_расходки[Индекс7],0)),"")</f>
        <v>Telescope ™ II 6F</v>
      </c>
      <c r="Y68" s="195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5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5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5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5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5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457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348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учёта'!$B$16,Расходка[[#This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0</v>
      </c>
      <c r="J69" s="194">
        <f>IF(ISNUMBER(SEARCH('Карта учёта'!$B$18,Расходка[[#This Row],[Наименование расходного материала]])),MAX($J$1:J68)+1,0)</f>
        <v>68</v>
      </c>
      <c r="K69" s="194">
        <f>IF(ISNUMBER(SEARCH('Карта учёта'!$B$19,Расходка[[#This Row],[Наименование расходного материала]])),MAX($K$1:K68)+1,0)</f>
        <v>68</v>
      </c>
      <c r="L69" s="194">
        <f>IF(ISNUMBER(SEARCH('Карта учёта'!$B$20,Расходка[[#This Row],[Наименование расходного материала]])),MAX($L$1:L68)+1,0)</f>
        <v>68</v>
      </c>
      <c r="M69" s="194">
        <f>IF(ISNUMBER(SEARCH('Карта учёта'!$B$21,Расходка[[#This Row],[Наименование расходного материала]])),MAX($M$1:M68)+1,0)</f>
        <v>68</v>
      </c>
      <c r="N69" s="194">
        <f>IF(ISNUMBER(SEARCH('Карта учёта'!$B$22,Расходка[[#This Row],[Наименование расходного материала]])),MAX($N$1:N68)+1,0)</f>
        <v>68</v>
      </c>
      <c r="O69" s="194">
        <f>IF(ISNUMBER(SEARCH('Карта учёта'!$B$23,Расходка[[#This Row],[Наименование расходного материала]])),MAX($O$1:O68)+1,0)</f>
        <v>68</v>
      </c>
      <c r="P69" s="194">
        <f>IF(ISNUMBER(SEARCH('Карта учёта'!$B$24,Расходка[[#This Row],[Наименование расходного материала]])),MAX($P$1:P68)+1,0)</f>
        <v>68</v>
      </c>
      <c r="Q69" s="194">
        <f>IF(ISNUMBER(SEARCH('Карта учёта'!$B$25,Расходка[[#This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>Launcher 6F AL 1</v>
      </c>
      <c r="X69" s="195" t="str">
        <f>IFERROR(INDEX(Расходка[Наименование расходного материала],MATCH(Расходка[[#This Row],[№]],Поиск_расходки[Индекс7],0)),"")</f>
        <v>Launcher 6F AL 1</v>
      </c>
      <c r="Y69" s="195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5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458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учёта'!$B$16,Расходка[[#This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0</v>
      </c>
      <c r="J70" s="194">
        <f>IF(ISNUMBER(SEARCH('Карта учёта'!$B$18,Расходка[[#This Row],[Наименование расходного материала]])),MAX($J$1:J69)+1,0)</f>
        <v>69</v>
      </c>
      <c r="K70" s="194">
        <f>IF(ISNUMBER(SEARCH('Карта учёта'!$B$19,Расходка[[#This Row],[Наименование расходного материала]])),MAX($K$1:K69)+1,0)</f>
        <v>69</v>
      </c>
      <c r="L70" s="194">
        <f>IF(ISNUMBER(SEARCH('Карта учёта'!$B$20,Расходка[[#This Row],[Наименование расходного материала]])),MAX($L$1:L69)+1,0)</f>
        <v>69</v>
      </c>
      <c r="M70" s="194">
        <f>IF(ISNUMBER(SEARCH('Карта учёта'!$B$21,Расходка[[#This Row],[Наименование расходного материала]])),MAX($M$1:M69)+1,0)</f>
        <v>69</v>
      </c>
      <c r="N70" s="194">
        <f>IF(ISNUMBER(SEARCH('Карта учёта'!$B$22,Расходка[[#This Row],[Наименование расходного материала]])),MAX($N$1:N69)+1,0)</f>
        <v>69</v>
      </c>
      <c r="O70" s="194">
        <f>IF(ISNUMBER(SEARCH('Карта учёта'!$B$23,Расходка[[#This Row],[Наименование расходного материала]])),MAX($O$1:O69)+1,0)</f>
        <v>69</v>
      </c>
      <c r="P70" s="194">
        <f>IF(ISNUMBER(SEARCH('Карта учёта'!$B$24,Расходка[[#This Row],[Наименование расходного материала]])),MAX($P$1:P69)+1,0)</f>
        <v>69</v>
      </c>
      <c r="Q70" s="194">
        <f>IF(ISNUMBER(SEARCH('Карта учёта'!$B$25,Расходка[[#This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>Launcher 6F AL 2</v>
      </c>
      <c r="X70" s="195" t="str">
        <f>IFERROR(INDEX(Расходка[Наименование расходного материала],MATCH(Расходка[[#This Row],[№]],Поиск_расходки[Индекс7],0)),"")</f>
        <v>Launcher 6F AL 2</v>
      </c>
      <c r="Y70" s="195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459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323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1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учёта'!$B$16,Расходка[[#This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0</v>
      </c>
      <c r="J71" s="194">
        <f>IF(ISNUMBER(SEARCH('Карта учёта'!$B$18,Расходка[[#This Row],[Наименование расходного материала]])),MAX($J$1:J70)+1,0)</f>
        <v>70</v>
      </c>
      <c r="K71" s="194">
        <f>IF(ISNUMBER(SEARCH('Карта учёта'!$B$19,Расходка[[#This Row],[Наименование расходного материала]])),MAX($K$1:K70)+1,0)</f>
        <v>70</v>
      </c>
      <c r="L71" s="194">
        <f>IF(ISNUMBER(SEARCH('Карта учёта'!$B$20,Расходка[[#This Row],[Наименование расходного материала]])),MAX($L$1:L70)+1,0)</f>
        <v>70</v>
      </c>
      <c r="M71" s="194">
        <f>IF(ISNUMBER(SEARCH('Карта учёта'!$B$21,Расходка[[#This Row],[Наименование расходного материала]])),MAX($M$1:M70)+1,0)</f>
        <v>70</v>
      </c>
      <c r="N71" s="194">
        <f>IF(ISNUMBER(SEARCH('Карта учёта'!$B$22,Расходка[[#This Row],[Наименование расходного материала]])),MAX($N$1:N70)+1,0)</f>
        <v>70</v>
      </c>
      <c r="O71" s="194">
        <f>IF(ISNUMBER(SEARCH('Карта учёта'!$B$23,Расходка[[#This Row],[Наименование расходного материала]])),MAX($O$1:O70)+1,0)</f>
        <v>70</v>
      </c>
      <c r="P71" s="194">
        <f>IF(ISNUMBER(SEARCH('Карта учёта'!$B$24,Расходка[[#This Row],[Наименование расходного материала]])),MAX($P$1:P70)+1,0)</f>
        <v>70</v>
      </c>
      <c r="Q71" s="194">
        <f>IF(ISNUMBER(SEARCH('Карта учёта'!$B$25,Расходка[[#This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>Launcher 6F EBU 3.5</v>
      </c>
      <c r="X71" s="195" t="str">
        <f>IFERROR(INDEX(Расходка[Наименование расходного материала],MATCH(Расходка[[#This Row],[№]],Поиск_расходки[Индекс7],0)),"")</f>
        <v>Launcher 6F EBU 3.5</v>
      </c>
      <c r="Y71" s="195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414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учёта'!$B$16,Расходка[[#This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0</v>
      </c>
      <c r="J72" s="194">
        <f>IF(ISNUMBER(SEARCH('Карта учёта'!$B$18,Расходка[[#This Row],[Наименование расходного материала]])),MAX($J$1:J71)+1,0)</f>
        <v>71</v>
      </c>
      <c r="K72" s="194">
        <f>IF(ISNUMBER(SEARCH('Карта учёта'!$B$19,Расходка[[#This Row],[Наименование расходного материала]])),MAX($K$1:K71)+1,0)</f>
        <v>71</v>
      </c>
      <c r="L72" s="194">
        <f>IF(ISNUMBER(SEARCH('Карта учёта'!$B$20,Расходка[[#This Row],[Наименование расходного материала]])),MAX($L$1:L71)+1,0)</f>
        <v>71</v>
      </c>
      <c r="M72" s="194">
        <f>IF(ISNUMBER(SEARCH('Карта учёта'!$B$21,Расходка[[#This Row],[Наименование расходного материала]])),MAX($M$1:M71)+1,0)</f>
        <v>71</v>
      </c>
      <c r="N72" s="194">
        <f>IF(ISNUMBER(SEARCH('Карта учёта'!$B$22,Расходка[[#This Row],[Наименование расходного материала]])),MAX($N$1:N71)+1,0)</f>
        <v>71</v>
      </c>
      <c r="O72" s="194">
        <f>IF(ISNUMBER(SEARCH('Карта учёта'!$B$23,Расходка[[#This Row],[Наименование расходного материала]])),MAX($O$1:O71)+1,0)</f>
        <v>71</v>
      </c>
      <c r="P72" s="194">
        <f>IF(ISNUMBER(SEARCH('Карта учёта'!$B$24,Расходка[[#This Row],[Наименование расходного материала]])),MAX($P$1:P71)+1,0)</f>
        <v>71</v>
      </c>
      <c r="Q72" s="194">
        <f>IF(ISNUMBER(SEARCH('Карта учёта'!$B$25,Расходка[[#This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>Launcher 6F EBU 4.0</v>
      </c>
      <c r="X72" s="195" t="str">
        <f>IFERROR(INDEX(Расходка[Наименование расходного материала],MATCH(Расходка[[#This Row],[№]],Поиск_расходки[Индекс7],0)),"")</f>
        <v>Launcher 6F EBU 4.0</v>
      </c>
      <c r="Y72" s="195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460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учёта'!$B$16,Расходка[[#This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0</v>
      </c>
      <c r="J73" s="194">
        <f>IF(ISNUMBER(SEARCH('Карта учёта'!$B$18,Расходка[[#This Row],[Наименование расходного материала]])),MAX($J$1:J72)+1,0)</f>
        <v>72</v>
      </c>
      <c r="K73" s="194">
        <f>IF(ISNUMBER(SEARCH('Карта учёта'!$B$19,Расходка[[#This Row],[Наименование расходного материала]])),MAX($K$1:K72)+1,0)</f>
        <v>72</v>
      </c>
      <c r="L73" s="194">
        <f>IF(ISNUMBER(SEARCH('Карта учёта'!$B$20,Расходка[[#This Row],[Наименование расходного материала]])),MAX($L$1:L72)+1,0)</f>
        <v>72</v>
      </c>
      <c r="M73" s="194">
        <f>IF(ISNUMBER(SEARCH('Карта учёта'!$B$21,Расходка[[#This Row],[Наименование расходного материала]])),MAX($M$1:M72)+1,0)</f>
        <v>72</v>
      </c>
      <c r="N73" s="194">
        <f>IF(ISNUMBER(SEARCH('Карта учёта'!$B$22,Расходка[[#This Row],[Наименование расходного материала]])),MAX($N$1:N72)+1,0)</f>
        <v>72</v>
      </c>
      <c r="O73" s="194">
        <f>IF(ISNUMBER(SEARCH('Карта учёта'!$B$23,Расходка[[#This Row],[Наименование расходного материала]])),MAX($O$1:O72)+1,0)</f>
        <v>72</v>
      </c>
      <c r="P73" s="194">
        <f>IF(ISNUMBER(SEARCH('Карта учёта'!$B$24,Расходка[[#This Row],[Наименование расходного материала]])),MAX($P$1:P72)+1,0)</f>
        <v>72</v>
      </c>
      <c r="Q73" s="194">
        <f>IF(ISNUMBER(SEARCH('Карта учёта'!$B$25,Расходка[[#This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>Launcher 6F JL 3.5</v>
      </c>
      <c r="X73" s="195" t="str">
        <f>IFERROR(INDEX(Расходка[Наименование расходного материала],MATCH(Расходка[[#This Row],[№]],Поиск_расходки[Индекс7],0)),"")</f>
        <v>Launcher 6F JL 3.5</v>
      </c>
      <c r="Y73" s="195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415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учёта'!$B$16,Расходка[[#This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0</v>
      </c>
      <c r="J74" s="194">
        <f>IF(ISNUMBER(SEARCH('Карта учёта'!$B$18,Расходка[[#This Row],[Наименование расходного материала]])),MAX($J$1:J73)+1,0)</f>
        <v>73</v>
      </c>
      <c r="K74" s="194">
        <f>IF(ISNUMBER(SEARCH('Карта учёта'!$B$19,Расходка[[#This Row],[Наименование расходного материала]])),MAX($K$1:K73)+1,0)</f>
        <v>73</v>
      </c>
      <c r="L74" s="194">
        <f>IF(ISNUMBER(SEARCH('Карта учёта'!$B$20,Расходка[[#This Row],[Наименование расходного материала]])),MAX($L$1:L73)+1,0)</f>
        <v>73</v>
      </c>
      <c r="M74" s="194">
        <f>IF(ISNUMBER(SEARCH('Карта учёта'!$B$21,Расходка[[#This Row],[Наименование расходного материала]])),MAX($M$1:M73)+1,0)</f>
        <v>73</v>
      </c>
      <c r="N74" s="194">
        <f>IF(ISNUMBER(SEARCH('Карта учёта'!$B$22,Расходка[[#This Row],[Наименование расходного материала]])),MAX($N$1:N73)+1,0)</f>
        <v>73</v>
      </c>
      <c r="O74" s="194">
        <f>IF(ISNUMBER(SEARCH('Карта учёта'!$B$23,Расходка[[#This Row],[Наименование расходного материала]])),MAX($O$1:O73)+1,0)</f>
        <v>73</v>
      </c>
      <c r="P74" s="194">
        <f>IF(ISNUMBER(SEARCH('Карта учёта'!$B$24,Расходка[[#This Row],[Наименование расходного материала]])),MAX($P$1:P73)+1,0)</f>
        <v>73</v>
      </c>
      <c r="Q74" s="194">
        <f>IF(ISNUMBER(SEARCH('Карта учёта'!$B$25,Расходка[[#This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>Launcher 6F JL 4.0</v>
      </c>
      <c r="X74" s="195" t="str">
        <f>IFERROR(INDEX(Расходка[Наименование расходного материала],MATCH(Расходка[[#This Row],[№]],Поиск_расходки[Индекс7],0)),"")</f>
        <v>Launcher 6F JL 4.0</v>
      </c>
      <c r="Y74" s="195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461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332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учёта'!$B$16,Расходка[[#This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0</v>
      </c>
      <c r="J75" s="194">
        <f>IF(ISNUMBER(SEARCH('Карта учёта'!$B$18,Расходка[[#This Row],[Наименование расходного материала]])),MAX($J$1:J74)+1,0)</f>
        <v>74</v>
      </c>
      <c r="K75" s="194">
        <f>IF(ISNUMBER(SEARCH('Карта учёта'!$B$19,Расходка[[#This Row],[Наименование расходного материала]])),MAX($K$1:K74)+1,0)</f>
        <v>74</v>
      </c>
      <c r="L75" s="194">
        <f>IF(ISNUMBER(SEARCH('Карта учёта'!$B$20,Расходка[[#This Row],[Наименование расходного материала]])),MAX($L$1:L74)+1,0)</f>
        <v>74</v>
      </c>
      <c r="M75" s="194">
        <f>IF(ISNUMBER(SEARCH('Карта учёта'!$B$21,Расходка[[#This Row],[Наименование расходного материала]])),MAX($M$1:M74)+1,0)</f>
        <v>74</v>
      </c>
      <c r="N75" s="194">
        <f>IF(ISNUMBER(SEARCH('Карта учёта'!$B$22,Расходка[[#This Row],[Наименование расходного материала]])),MAX($N$1:N74)+1,0)</f>
        <v>74</v>
      </c>
      <c r="O75" s="194">
        <f>IF(ISNUMBER(SEARCH('Карта учёта'!$B$23,Расходка[[#This Row],[Наименование расходного материала]])),MAX($O$1:O74)+1,0)</f>
        <v>74</v>
      </c>
      <c r="P75" s="194">
        <f>IF(ISNUMBER(SEARCH('Карта учёта'!$B$24,Расходка[[#This Row],[Наименование расходного материала]])),MAX($P$1:P74)+1,0)</f>
        <v>74</v>
      </c>
      <c r="Q75" s="194">
        <f>IF(ISNUMBER(SEARCH('Карта учёта'!$B$25,Расходка[[#This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>Launcher 6F JL 4.5</v>
      </c>
      <c r="X75" s="195" t="str">
        <f>IFERROR(INDEX(Расходка[Наименование расходного материала],MATCH(Расходка[[#This Row],[№]],Поиск_расходки[Индекс7],0)),"")</f>
        <v>Launcher 6F JL 4.5</v>
      </c>
      <c r="Y75" s="195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462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учёта'!$B$16,Расходка[[#This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0</v>
      </c>
      <c r="J76" s="194">
        <f>IF(ISNUMBER(SEARCH('Карта учёта'!$B$18,Расходка[[#This Row],[Наименование расходного материала]])),MAX($J$1:J75)+1,0)</f>
        <v>75</v>
      </c>
      <c r="K76" s="194">
        <f>IF(ISNUMBER(SEARCH('Карта учёта'!$B$19,Расходка[[#This Row],[Наименование расходного материала]])),MAX($K$1:K75)+1,0)</f>
        <v>75</v>
      </c>
      <c r="L76" s="194">
        <f>IF(ISNUMBER(SEARCH('Карта учёта'!$B$20,Расходка[[#This Row],[Наименование расходного материала]])),MAX($L$1:L75)+1,0)</f>
        <v>75</v>
      </c>
      <c r="M76" s="194">
        <f>IF(ISNUMBER(SEARCH('Карта учёта'!$B$21,Расходка[[#This Row],[Наименование расходного материала]])),MAX($M$1:M75)+1,0)</f>
        <v>75</v>
      </c>
      <c r="N76" s="194">
        <f>IF(ISNUMBER(SEARCH('Карта учёта'!$B$22,Расходка[[#This Row],[Наименование расходного материала]])),MAX($N$1:N75)+1,0)</f>
        <v>75</v>
      </c>
      <c r="O76" s="194">
        <f>IF(ISNUMBER(SEARCH('Карта учёта'!$B$23,Расходка[[#This Row],[Наименование расходного материала]])),MAX($O$1:O75)+1,0)</f>
        <v>75</v>
      </c>
      <c r="P76" s="194">
        <f>IF(ISNUMBER(SEARCH('Карта учёта'!$B$24,Расходка[[#This Row],[Наименование расходного материала]])),MAX($P$1:P75)+1,0)</f>
        <v>75</v>
      </c>
      <c r="Q76" s="194">
        <f>IF(ISNUMBER(SEARCH('Карта учёта'!$B$25,Расходка[[#This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>Launcher 6F JR 3.5</v>
      </c>
      <c r="X76" s="195" t="str">
        <f>IFERROR(INDEX(Расходка[Наименование расходного материала],MATCH(Расходка[[#This Row],[№]],Поиск_расходки[Индекс7],0)),"")</f>
        <v>Launcher 6F JR 3.5</v>
      </c>
      <c r="Y76" s="195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463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учёта'!$B$16,Расходка[[#This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0</v>
      </c>
      <c r="J77" s="194">
        <f>IF(ISNUMBER(SEARCH('Карта учёта'!$B$18,Расходка[[#This Row],[Наименование расходного материала]])),MAX($J$1:J76)+1,0)</f>
        <v>76</v>
      </c>
      <c r="K77" s="194">
        <f>IF(ISNUMBER(SEARCH('Карта учёта'!$B$19,Расходка[[#This Row],[Наименование расходного материала]])),MAX($K$1:K76)+1,0)</f>
        <v>76</v>
      </c>
      <c r="L77" s="194">
        <f>IF(ISNUMBER(SEARCH('Карта учёта'!$B$20,Расходка[[#This Row],[Наименование расходного материала]])),MAX($L$1:L76)+1,0)</f>
        <v>76</v>
      </c>
      <c r="M77" s="194">
        <f>IF(ISNUMBER(SEARCH('Карта учёта'!$B$21,Расходка[[#This Row],[Наименование расходного материала]])),MAX($M$1:M76)+1,0)</f>
        <v>76</v>
      </c>
      <c r="N77" s="194">
        <f>IF(ISNUMBER(SEARCH('Карта учёта'!$B$22,Расходка[[#This Row],[Наименование расходного материала]])),MAX($N$1:N76)+1,0)</f>
        <v>76</v>
      </c>
      <c r="O77" s="194">
        <f>IF(ISNUMBER(SEARCH('Карта учёта'!$B$23,Расходка[[#This Row],[Наименование расходного материала]])),MAX($O$1:O76)+1,0)</f>
        <v>76</v>
      </c>
      <c r="P77" s="194">
        <f>IF(ISNUMBER(SEARCH('Карта учёта'!$B$24,Расходка[[#This Row],[Наименование расходного материала]])),MAX($P$1:P76)+1,0)</f>
        <v>76</v>
      </c>
      <c r="Q77" s="194">
        <f>IF(ISNUMBER(SEARCH('Карта учёта'!$B$25,Расходка[[#This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>Launcher 6F JR 4.0</v>
      </c>
      <c r="X77" s="195" t="str">
        <f>IFERROR(INDEX(Расходка[Наименование расходного материала],MATCH(Расходка[[#This Row],[№]],Поиск_расходки[Индекс7],0)),"")</f>
        <v>Launcher 6F JR 4.0</v>
      </c>
      <c r="Y77" s="195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464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учёта'!$B$16,Расходка[[#This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0</v>
      </c>
      <c r="J78" s="194">
        <f>IF(ISNUMBER(SEARCH('Карта учёта'!$B$18,Расходка[[#This Row],[Наименование расходного материала]])),MAX($J$1:J77)+1,0)</f>
        <v>77</v>
      </c>
      <c r="K78" s="194">
        <f>IF(ISNUMBER(SEARCH('Карта учёта'!$B$19,Расходка[[#This Row],[Наименование расходного материала]])),MAX($K$1:K77)+1,0)</f>
        <v>77</v>
      </c>
      <c r="L78" s="194">
        <f>IF(ISNUMBER(SEARCH('Карта учёта'!$B$20,Расходка[[#This Row],[Наименование расходного материала]])),MAX($L$1:L77)+1,0)</f>
        <v>77</v>
      </c>
      <c r="M78" s="194">
        <f>IF(ISNUMBER(SEARCH('Карта учёта'!$B$21,Расходка[[#This Row],[Наименование расходного материала]])),MAX($M$1:M77)+1,0)</f>
        <v>77</v>
      </c>
      <c r="N78" s="194">
        <f>IF(ISNUMBER(SEARCH('Карта учёта'!$B$22,Расходка[[#This Row],[Наименование расходного материала]])),MAX($N$1:N77)+1,0)</f>
        <v>77</v>
      </c>
      <c r="O78" s="194">
        <f>IF(ISNUMBER(SEARCH('Карта учёта'!$B$23,Расходка[[#This Row],[Наименование расходного материала]])),MAX($O$1:O77)+1,0)</f>
        <v>77</v>
      </c>
      <c r="P78" s="194">
        <f>IF(ISNUMBER(SEARCH('Карта учёта'!$B$24,Расходка[[#This Row],[Наименование расходного материала]])),MAX($P$1:P77)+1,0)</f>
        <v>77</v>
      </c>
      <c r="Q78" s="194">
        <f>IF(ISNUMBER(SEARCH('Карта учёта'!$B$25,Расходка[[#This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>Launcher 7F JL 3.5</v>
      </c>
      <c r="X78" s="195" t="str">
        <f>IFERROR(INDEX(Расходка[Наименование расходного материала],MATCH(Расходка[[#This Row],[№]],Поиск_расходки[Индекс7],0)),"")</f>
        <v>Launcher 7F JL 3.5</v>
      </c>
      <c r="Y78" s="195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465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E79" s="194">
        <f>IF(ISNUMBER(SEARCH('Карта учёта'!$B$13,Расходка[[#This Row],[Наименование расходного материала]])),MAX($E$1:E78)+1,0)</f>
        <v>0</v>
      </c>
      <c r="F79" s="194">
        <f>IF(ISNUMBER(SEARCH('Карта учёта'!$B$14,Расходка[[#This Row],[Наименование расходного материала]])),MAX($F$1:F78)+1,0)</f>
        <v>0</v>
      </c>
      <c r="G79" s="194">
        <f>IF(ISNUMBER(SEARCH('Карта учёта'!$B$15,Расходка[[#This Row],[Наименование расходного материала]])),MAX($G$1:G78)+1,0)</f>
        <v>0</v>
      </c>
      <c r="H79" s="194">
        <f>IF(ISNUMBER(SEARCH('Карта учёта'!$B$16,Расходка[[#This Row],[Наименование расходного материала]])),MAX($H$1:H78)+1,0)</f>
        <v>0</v>
      </c>
      <c r="I79" s="194">
        <f>IF(ISNUMBER(SEARCH('Карта учёта'!$B$17,Расходка[[#This Row],[Наименование расходного материала]])),MAX($I$1:I78)+1,0)</f>
        <v>0</v>
      </c>
      <c r="J79" s="194">
        <f>IF(ISNUMBER(SEARCH('Карта учёта'!$B$18,Расходка[[#This Row],[Наименование расходного материала]])),MAX($J$1:J78)+1,0)</f>
        <v>78</v>
      </c>
      <c r="K79" s="194">
        <f>IF(ISNUMBER(SEARCH('Карта учёта'!$B$19,Расходка[[#This Row],[Наименование расходного материала]])),MAX($K$1:K78)+1,0)</f>
        <v>78</v>
      </c>
      <c r="L79" s="194">
        <f>IF(ISNUMBER(SEARCH('Карта учёта'!$B$20,Расходка[[#This Row],[Наименование расходного материала]])),MAX($L$1:L78)+1,0)</f>
        <v>78</v>
      </c>
      <c r="M79" s="194">
        <f>IF(ISNUMBER(SEARCH('Карта учёта'!$B$21,Расходка[[#This Row],[Наименование расходного материала]])),MAX($M$1:M78)+1,0)</f>
        <v>78</v>
      </c>
      <c r="N79" s="194">
        <f>IF(ISNUMBER(SEARCH('Карта учёта'!$B$22,Расходка[[#This Row],[Наименование расходного материала]])),MAX($N$1:N78)+1,0)</f>
        <v>78</v>
      </c>
      <c r="O79" s="194">
        <f>IF(ISNUMBER(SEARCH('Карта учёта'!$B$23,Расходка[[#This Row],[Наименование расходного материала]])),MAX($O$1:O78)+1,0)</f>
        <v>78</v>
      </c>
      <c r="P79" s="194">
        <f>IF(ISNUMBER(SEARCH('Карта учёта'!$B$24,Расходка[[#This Row],[Наименование расходного материала]])),MAX($P$1:P78)+1,0)</f>
        <v>78</v>
      </c>
      <c r="Q79" s="194">
        <f>IF(ISNUMBER(SEARCH('Карта учёта'!$B$25,Расходка[[#This Row],[Наименование расходного материала]])),MAX($Q$1:Q78)+1,0)</f>
        <v>78</v>
      </c>
      <c r="R79" s="195" t="str">
        <f>IFERROR(INDEX(Расходка[Наименование расходного материала],MATCH(Расходка[[#This Row],[№]],Поиск_расходки[Индекс1],0)),"")</f>
        <v/>
      </c>
      <c r="S79" s="195" t="str">
        <f>IFERROR(INDEX(Расходка[Наименование расходного материала],MATCH(Расходка[[#This Row],[№]],Поиск_расходки[Индекс2],0)),"")</f>
        <v/>
      </c>
      <c r="T79" s="195" t="str">
        <f>IFERROR(INDEX(Расходка[Наименование расходного материала],MATCH(Расходка[[#This Row],[№]],Поиск_расходки[Индекс3],0)),"")</f>
        <v/>
      </c>
      <c r="U79" s="195" t="str">
        <f>IFERROR(INDEX(Расходка[Наименование расходного материала],MATCH(Расходка[[#This Row],[№]],Поиск_расходки[Индекс4],0)),"")</f>
        <v/>
      </c>
      <c r="V79" s="195" t="str">
        <f>IFERROR(INDEX(Расходка[Наименование расходного материала],MATCH(Расходка[[#This Row],[№]],Поиск_расходки[Индекс5],0)),"")</f>
        <v/>
      </c>
      <c r="W79" s="195" t="str">
        <f>IFERROR(INDEX(Расходка[Наименование расходного материала],MATCH(Расходка[[#This Row],[№]],Поиск_расходки[Индекс6],0)),"")</f>
        <v>Launcher 7F JL 4.0</v>
      </c>
      <c r="X79" s="195" t="str">
        <f>IFERROR(INDEX(Расходка[Наименование расходного материала],MATCH(Расходка[[#This Row],[№]],Поиск_расходки[Индекс7],0)),"")</f>
        <v>Launcher 7F JL 4.0</v>
      </c>
      <c r="Y79" s="195" t="str">
        <f>IFERROR(INDEX(Расходка[Наименование расходного материала],MATCH(Расходка[[#This Row],[№]],Поиск_расходки[Индекс8],0)),"")</f>
        <v>Launcher 7F JL 4.0</v>
      </c>
      <c r="Z79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79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9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9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9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9" s="4" t="s">
        <v>6</v>
      </c>
      <c r="AG79" s="4" t="s">
        <v>466</v>
      </c>
    </row>
    <row r="80" spans="1:33">
      <c r="A80">
        <f>ROW(Расходка[[#This Row],[Тип расходного материала ]])-1</f>
        <v>79</v>
      </c>
      <c r="B80" t="s">
        <v>300</v>
      </c>
      <c r="C80" s="1" t="s">
        <v>329</v>
      </c>
      <c r="E80" s="194">
        <f>IF(ISNUMBER(SEARCH('Карта учёта'!$B$13,Расходка[[#This Row],[Наименование расходного материала]])),MAX($E$1:E79)+1,0)</f>
        <v>0</v>
      </c>
      <c r="F80" s="194">
        <f>IF(ISNUMBER(SEARCH('Карта учёта'!$B$14,Расходка[[#This Row],[Наименование расходного материала]])),MAX($F$1:F79)+1,0)</f>
        <v>0</v>
      </c>
      <c r="G80" s="194">
        <f>IF(ISNUMBER(SEARCH('Карта учёта'!$B$15,Расходка[[#This Row],[Наименование расходного материала]])),MAX($G$1:G79)+1,0)</f>
        <v>0</v>
      </c>
      <c r="H80" s="194">
        <f>IF(ISNUMBER(SEARCH('Карта учёта'!$B$16,Расходка[[#This Row],[Наименование расходного материала]])),MAX($H$1:H79)+1,0)</f>
        <v>0</v>
      </c>
      <c r="I80" s="194">
        <f>IF(ISNUMBER(SEARCH('Карта учёта'!$B$17,Расходка[[#This Row],[Наименование расходного материала]])),MAX($I$1:I79)+1,0)</f>
        <v>0</v>
      </c>
      <c r="J80" s="194">
        <f>IF(ISNUMBER(SEARCH('Карта учёта'!$B$18,Расходка[[#This Row],[Наименование расходного материала]])),MAX($J$1:J79)+1,0)</f>
        <v>79</v>
      </c>
      <c r="K80" s="194">
        <f>IF(ISNUMBER(SEARCH('Карта учёта'!$B$19,Расходка[[#This Row],[Наименование расходного материала]])),MAX($K$1:K79)+1,0)</f>
        <v>79</v>
      </c>
      <c r="L80" s="194">
        <f>IF(ISNUMBER(SEARCH('Карта учёта'!$B$20,Расходка[[#This Row],[Наименование расходного материала]])),MAX($L$1:L79)+1,0)</f>
        <v>79</v>
      </c>
      <c r="M80" s="194">
        <f>IF(ISNUMBER(SEARCH('Карта учёта'!$B$21,Расходка[[#This Row],[Наименование расходного материала]])),MAX($M$1:M79)+1,0)</f>
        <v>79</v>
      </c>
      <c r="N80" s="194">
        <f>IF(ISNUMBER(SEARCH('Карта учёта'!$B$22,Расходка[[#This Row],[Наименование расходного материала]])),MAX($N$1:N79)+1,0)</f>
        <v>79</v>
      </c>
      <c r="O80" s="194">
        <f>IF(ISNUMBER(SEARCH('Карта учёта'!$B$23,Расходка[[#This Row],[Наименование расходного материала]])),MAX($O$1:O79)+1,0)</f>
        <v>79</v>
      </c>
      <c r="P80" s="194">
        <f>IF(ISNUMBER(SEARCH('Карта учёта'!$B$24,Расходка[[#This Row],[Наименование расходного материала]])),MAX($P$1:P79)+1,0)</f>
        <v>79</v>
      </c>
      <c r="Q80" s="194">
        <f>IF(ISNUMBER(SEARCH('Карта учёта'!$B$25,Расходка[[#This Row],[Наименование расходного материала]])),MAX($Q$1:Q79)+1,0)</f>
        <v>79</v>
      </c>
      <c r="R80" s="195" t="str">
        <f>IFERROR(INDEX(Расходка[Наименование расходного материала],MATCH(Расходка[[#This Row],[№]],Поиск_расходки[Индекс1],0)),"")</f>
        <v/>
      </c>
      <c r="S80" s="195" t="str">
        <f>IFERROR(INDEX(Расходка[Наименование расходного материала],MATCH(Расходка[[#This Row],[№]],Поиск_расходки[Индекс2],0)),"")</f>
        <v/>
      </c>
      <c r="T80" s="195" t="str">
        <f>IFERROR(INDEX(Расходка[Наименование расходного материала],MATCH(Расходка[[#This Row],[№]],Поиск_расходки[Индекс3],0)),"")</f>
        <v/>
      </c>
      <c r="U80" s="195" t="str">
        <f>IFERROR(INDEX(Расходка[Наименование расходного материала],MATCH(Расходка[[#This Row],[№]],Поиск_расходки[Индекс4],0)),"")</f>
        <v/>
      </c>
      <c r="V80" s="195" t="str">
        <f>IFERROR(INDEX(Расходка[Наименование расходного материала],MATCH(Расходка[[#This Row],[№]],Поиск_расходки[Индекс5],0)),"")</f>
        <v/>
      </c>
      <c r="W80" s="195" t="str">
        <f>IFERROR(INDEX(Расходка[Наименование расходного материала],MATCH(Расходка[[#This Row],[№]],Поиск_расходки[Индекс6],0)),"")</f>
        <v>Angio-Seal™ VIP</v>
      </c>
      <c r="X80" s="195" t="str">
        <f>IFERROR(INDEX(Расходка[Наименование расходного материала],MATCH(Расходка[[#This Row],[№]],Поиск_расходки[Индекс7],0)),"")</f>
        <v>Angio-Seal™ VIP</v>
      </c>
      <c r="Y80" s="195" t="str">
        <f>IFERROR(INDEX(Расходка[Наименование расходного материала],MATCH(Расходка[[#This Row],[№]],Поиск_расходки[Индекс8],0)),"")</f>
        <v>Angio-Seal™ VIP</v>
      </c>
      <c r="Z80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80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80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80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80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80" s="4" t="s">
        <v>6</v>
      </c>
      <c r="AG80" s="4" t="s">
        <v>467</v>
      </c>
    </row>
    <row r="81" spans="5:33">
      <c r="E81" s="194">
        <f>IF(ISNUMBER(SEARCH('Карта учёта'!$B$13,Расходка[[#This Row],[Наименование расходного материала]])),MAX($E$1:E80)+1,0)</f>
        <v>0</v>
      </c>
      <c r="F81" s="194">
        <f>IF(ISNUMBER(SEARCH('Карта учёта'!$B$14,Расходка[[#This Row],[Наименование расходного материала]])),MAX($F$1:F80)+1,0)</f>
        <v>0</v>
      </c>
      <c r="G81" s="194">
        <f>IF(ISNUMBER(SEARCH('Карта учёта'!$B$15,Расходка[[#This Row],[Наименование расходного материала]])),MAX($G$1:G80)+1,0)</f>
        <v>0</v>
      </c>
      <c r="H81" s="194">
        <f>IF(ISNUMBER(SEARCH('Карта учёта'!$B$16,Расходка[[#This Row],[Наименование расходного материала]])),MAX($H$1:H80)+1,0)</f>
        <v>0</v>
      </c>
      <c r="I81" s="194">
        <f>IF(ISNUMBER(SEARCH('Карта учёта'!$B$17,Расходка[[#This Row],[Наименование расходного материала]])),MAX($I$1:I80)+1,0)</f>
        <v>0</v>
      </c>
      <c r="J81" s="194">
        <f>IF(ISNUMBER(SEARCH('Карта учёта'!$B$18,Расходка[[#This Row],[Наименование расходного материала]])),MAX($J$1:J80)+1,0)</f>
        <v>0</v>
      </c>
      <c r="K81" s="194">
        <f>IF(ISNUMBER(SEARCH('Карта учёта'!$B$19,Расходка[[#This Row],[Наименование расходного материала]])),MAX($K$1:K80)+1,0)</f>
        <v>0</v>
      </c>
      <c r="L81" s="194">
        <f>IF(ISNUMBER(SEARCH('Карта учёта'!$B$20,Расходка[[#This Row],[Наименование расходного материала]])),MAX($L$1:L80)+1,0)</f>
        <v>0</v>
      </c>
      <c r="M81" s="194">
        <f>IF(ISNUMBER(SEARCH('Карта учёта'!$B$21,Расходка[[#This Row],[Наименование расходного материала]])),MAX($M$1:M80)+1,0)</f>
        <v>0</v>
      </c>
      <c r="N81" s="194">
        <f>IF(ISNUMBER(SEARCH('Карта учёта'!$B$22,Расходка[[#This Row],[Наименование расходного материала]])),MAX($N$1:N80)+1,0)</f>
        <v>0</v>
      </c>
      <c r="O81" s="194">
        <f>IF(ISNUMBER(SEARCH('Карта учёта'!$B$23,Расходка[[#This Row],[Наименование расходного материала]])),MAX($O$1:O80)+1,0)</f>
        <v>0</v>
      </c>
      <c r="P81" s="194">
        <f>IF(ISNUMBER(SEARCH('Карта учёта'!$B$24,Расходка[[#This Row],[Наименование расходного материала]])),MAX($P$1:P80)+1,0)</f>
        <v>0</v>
      </c>
      <c r="Q81" s="194">
        <f>IF(ISNUMBER(SEARCH('Карта учёта'!$B$25,Расходка[[#This Row],[Наименование расходного материала]])),MAX($Q$1:Q80)+1,0)</f>
        <v>0</v>
      </c>
      <c r="R81" s="195" t="str">
        <f>IFERROR(INDEX(Расходка[Наименование расходного материала],MATCH(Расходка[[#This Row],[№]],Поиск_расходки[Индекс1],0)),"")</f>
        <v/>
      </c>
      <c r="S81" s="195" t="str">
        <f>IFERROR(INDEX(Расходка[Наименование расходного материала],MATCH(Расходка[[#This Row],[№]],Поиск_расходки[Индекс2],0)),"")</f>
        <v/>
      </c>
      <c r="T81" s="195" t="str">
        <f>IFERROR(INDEX(Расходка[Наименование расходного материала],MATCH(Расходка[[#This Row],[№]],Поиск_расходки[Индекс3],0)),"")</f>
        <v/>
      </c>
      <c r="U81" s="195" t="str">
        <f>IFERROR(INDEX(Расходка[Наименование расходного материала],MATCH(Расходка[[#This Row],[№]],Поиск_расходки[Индекс4],0)),"")</f>
        <v/>
      </c>
      <c r="V81" s="195" t="str">
        <f>IFERROR(INDEX(Расходка[Наименование расходного материала],MATCH(Расходка[[#This Row],[№]],Поиск_расходки[Индекс5],0)),"")</f>
        <v/>
      </c>
      <c r="W81" s="195" t="str">
        <f>IFERROR(INDEX(Расходка[Наименование расходного материала],MATCH(Расходка[[#This Row],[№]],Поиск_расходки[Индекс6],0)),"")</f>
        <v/>
      </c>
      <c r="X81" s="195" t="str">
        <f>IFERROR(INDEX(Расходка[Наименование расходного материала],MATCH(Расходка[[#This Row],[№]],Поиск_расходки[Индекс7],0)),"")</f>
        <v/>
      </c>
      <c r="Y81" s="195" t="str">
        <f>IFERROR(INDEX(Расходка[Наименование расходного материала],MATCH(Расходка[[#This Row],[№]],Поиск_расходки[Индекс8],0)),"")</f>
        <v/>
      </c>
      <c r="Z81" s="195" t="str">
        <f>IFERROR(INDEX(Расходка[Наименование расходного материала],MATCH(Расходка[[#This Row],[№]],Поиск_расходки[Индекс9],0)),"")</f>
        <v/>
      </c>
      <c r="AA81" s="195" t="str">
        <f>IFERROR(INDEX(Расходка[Наименование расходного материала],MATCH(Расходка[[#This Row],[№]],Поиск_расходки[Индекс10],0)),"")</f>
        <v/>
      </c>
      <c r="AB81" s="195" t="str">
        <f>IFERROR(INDEX(Расходка[Наименование расходного материала],MATCH(Расходка[[#This Row],[№]],Поиск_расходки[Индекс11],0)),"")</f>
        <v/>
      </c>
      <c r="AC81" s="195" t="str">
        <f>IFERROR(INDEX(Расходка[Наименование расходного материала],MATCH(Расходка[[#This Row],[№]],Поиск_расходки[Индекс12],0)),"")</f>
        <v/>
      </c>
      <c r="AD81" s="195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468</v>
      </c>
    </row>
    <row r="82" spans="5:33">
      <c r="E82" s="194">
        <f>IF(ISNUMBER(SEARCH('Карта учёта'!$B$13,Расходка[[#This Row],[Наименование расходного материала]])),MAX($E$1:E81)+1,0)</f>
        <v>0</v>
      </c>
      <c r="F82" s="194">
        <f>IF(ISNUMBER(SEARCH('Карта учёта'!$B$14,Расходка[[#This Row],[Наименование расходного материала]])),MAX($F$1:F81)+1,0)</f>
        <v>0</v>
      </c>
      <c r="G82" s="194">
        <f>IF(ISNUMBER(SEARCH('Карта учёта'!$B$15,Расходка[[#This Row],[Наименование расходного материала]])),MAX($G$1:G81)+1,0)</f>
        <v>0</v>
      </c>
      <c r="H82" s="194">
        <f>IF(ISNUMBER(SEARCH('Карта учёта'!$B$16,Расходка[[#This Row],[Наименование расходного материала]])),MAX($H$1:H81)+1,0)</f>
        <v>0</v>
      </c>
      <c r="I82" s="194">
        <f>IF(ISNUMBER(SEARCH('Карта учёта'!$B$17,Расходка[[#This Row],[Наименование расходного материала]])),MAX($I$1:I81)+1,0)</f>
        <v>0</v>
      </c>
      <c r="J82" s="194">
        <f>IF(ISNUMBER(SEARCH('Карта учёта'!$B$18,Расходка[[#This Row],[Наименование расходного материала]])),MAX($J$1:J81)+1,0)</f>
        <v>0</v>
      </c>
      <c r="K82" s="194">
        <f>IF(ISNUMBER(SEARCH('Карта учёта'!$B$19,Расходка[[#This Row],[Наименование расходного материала]])),MAX($K$1:K81)+1,0)</f>
        <v>0</v>
      </c>
      <c r="L82" s="194">
        <f>IF(ISNUMBER(SEARCH('Карта учёта'!$B$20,Расходка[[#This Row],[Наименование расходного материала]])),MAX($L$1:L81)+1,0)</f>
        <v>0</v>
      </c>
      <c r="M82" s="194">
        <f>IF(ISNUMBER(SEARCH('Карта учёта'!$B$21,Расходка[[#This Row],[Наименование расходного материала]])),MAX($M$1:M81)+1,0)</f>
        <v>0</v>
      </c>
      <c r="N82" s="194">
        <f>IF(ISNUMBER(SEARCH('Карта учёта'!$B$22,Расходка[[#This Row],[Наименование расходного материала]])),MAX($N$1:N81)+1,0)</f>
        <v>0</v>
      </c>
      <c r="O82" s="194">
        <f>IF(ISNUMBER(SEARCH('Карта учёта'!$B$23,Расходка[[#This Row],[Наименование расходного материала]])),MAX($O$1:O81)+1,0)</f>
        <v>0</v>
      </c>
      <c r="P82" s="194">
        <f>IF(ISNUMBER(SEARCH('Карта учёта'!$B$24,Расходка[[#This Row],[Наименование расходного материала]])),MAX($P$1:P81)+1,0)</f>
        <v>0</v>
      </c>
      <c r="Q82" s="194">
        <f>IF(ISNUMBER(SEARCH('Карта учёта'!$B$25,Расходка[[#This Row],[Наименование расходного материала]])),MAX($Q$1:Q81)+1,0)</f>
        <v>0</v>
      </c>
      <c r="R82" s="195" t="str">
        <f>IFERROR(INDEX(Расходка[Наименование расходного материала],MATCH(Расходка[[#This Row],[№]],Поиск_расходки[Индекс1],0)),"")</f>
        <v/>
      </c>
      <c r="S82" s="195" t="str">
        <f>IFERROR(INDEX(Расходка[Наименование расходного материала],MATCH(Расходка[[#This Row],[№]],Поиск_расходки[Индекс2],0)),"")</f>
        <v/>
      </c>
      <c r="T82" s="195" t="str">
        <f>IFERROR(INDEX(Расходка[Наименование расходного материала],MATCH(Расходка[[#This Row],[№]],Поиск_расходки[Индекс3],0)),"")</f>
        <v/>
      </c>
      <c r="U82" s="195" t="str">
        <f>IFERROR(INDEX(Расходка[Наименование расходного материала],MATCH(Расходка[[#This Row],[№]],Поиск_расходки[Индекс4],0)),"")</f>
        <v/>
      </c>
      <c r="V82" s="195" t="str">
        <f>IFERROR(INDEX(Расходка[Наименование расходного материала],MATCH(Расходка[[#This Row],[№]],Поиск_расходки[Индекс5],0)),"")</f>
        <v/>
      </c>
      <c r="W82" s="195" t="str">
        <f>IFERROR(INDEX(Расходка[Наименование расходного материала],MATCH(Расходка[[#This Row],[№]],Поиск_расходки[Индекс6],0)),"")</f>
        <v/>
      </c>
      <c r="X82" s="195" t="str">
        <f>IFERROR(INDEX(Расходка[Наименование расходного материала],MATCH(Расходка[[#This Row],[№]],Поиск_расходки[Индекс7],0)),"")</f>
        <v/>
      </c>
      <c r="Y82" s="195" t="str">
        <f>IFERROR(INDEX(Расходка[Наименование расходного материала],MATCH(Расходка[[#This Row],[№]],Поиск_расходки[Индекс8],0)),"")</f>
        <v/>
      </c>
      <c r="Z82" s="195" t="str">
        <f>IFERROR(INDEX(Расходка[Наименование расходного материала],MATCH(Расходка[[#This Row],[№]],Поиск_расходки[Индекс9],0)),"")</f>
        <v/>
      </c>
      <c r="AA82" s="195" t="str">
        <f>IFERROR(INDEX(Расходка[Наименование расходного материала],MATCH(Расходка[[#This Row],[№]],Поиск_расходки[Индекс10],0)),"")</f>
        <v/>
      </c>
      <c r="AB82" s="195" t="str">
        <f>IFERROR(INDEX(Расходка[Наименование расходного материала],MATCH(Расходка[[#This Row],[№]],Поиск_расходки[Индекс11],0)),"")</f>
        <v/>
      </c>
      <c r="AC82" s="195" t="str">
        <f>IFERROR(INDEX(Расходка[Наименование расходного материала],MATCH(Расходка[[#This Row],[№]],Поиск_расходки[Индекс12],0)),"")</f>
        <v/>
      </c>
      <c r="AD82" s="195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469</v>
      </c>
    </row>
    <row r="83" spans="5:33">
      <c r="E83" s="194">
        <f>IF(ISNUMBER(SEARCH('Карта учёта'!$B$13,Расходка[[#This Row],[Наименование расходного материала]])),MAX($E$1:E82)+1,0)</f>
        <v>0</v>
      </c>
      <c r="F83" s="194">
        <f>IF(ISNUMBER(SEARCH('Карта учёта'!$B$14,Расходка[[#This Row],[Наименование расходного материала]])),MAX($F$1:F82)+1,0)</f>
        <v>0</v>
      </c>
      <c r="G83" s="194">
        <f>IF(ISNUMBER(SEARCH('Карта учёта'!$B$15,Расходка[[#This Row],[Наименование расходного материала]])),MAX($G$1:G82)+1,0)</f>
        <v>0</v>
      </c>
      <c r="H83" s="194">
        <f>IF(ISNUMBER(SEARCH('Карта учёта'!$B$16,Расходка[[#This Row],[Наименование расходного материала]])),MAX($H$1:H82)+1,0)</f>
        <v>0</v>
      </c>
      <c r="I83" s="194">
        <f>IF(ISNUMBER(SEARCH('Карта учёта'!$B$17,Расходка[[#This Row],[Наименование расходного материала]])),MAX($I$1:I82)+1,0)</f>
        <v>0</v>
      </c>
      <c r="J83" s="194">
        <f>IF(ISNUMBER(SEARCH('Карта учёта'!$B$18,Расходка[[#This Row],[Наименование расходного материала]])),MAX($J$1:J82)+1,0)</f>
        <v>0</v>
      </c>
      <c r="K83" s="194">
        <f>IF(ISNUMBER(SEARCH('Карта учёта'!$B$19,Расходка[[#This Row],[Наименование расходного материала]])),MAX($K$1:K82)+1,0)</f>
        <v>0</v>
      </c>
      <c r="L83" s="194">
        <f>IF(ISNUMBER(SEARCH('Карта учёта'!$B$20,Расходка[[#This Row],[Наименование расходного материала]])),MAX($L$1:L82)+1,0)</f>
        <v>0</v>
      </c>
      <c r="M83" s="194">
        <f>IF(ISNUMBER(SEARCH('Карта учёта'!$B$21,Расходка[[#This Row],[Наименование расходного материала]])),MAX($M$1:M82)+1,0)</f>
        <v>0</v>
      </c>
      <c r="N83" s="194">
        <f>IF(ISNUMBER(SEARCH('Карта учёта'!$B$22,Расходка[[#This Row],[Наименование расходного материала]])),MAX($N$1:N82)+1,0)</f>
        <v>0</v>
      </c>
      <c r="O83" s="194">
        <f>IF(ISNUMBER(SEARCH('Карта учёта'!$B$23,Расходка[[#This Row],[Наименование расходного материала]])),MAX($O$1:O82)+1,0)</f>
        <v>0</v>
      </c>
      <c r="P83" s="194">
        <f>IF(ISNUMBER(SEARCH('Карта учёта'!$B$24,Расходка[[#This Row],[Наименование расходного материала]])),MAX($P$1:P82)+1,0)</f>
        <v>0</v>
      </c>
      <c r="Q83" s="194">
        <f>IF(ISNUMBER(SEARCH('Карта учёта'!$B$25,Расходка[[#This Row],[Наименование расходного материала]])),MAX($Q$1:Q82)+1,0)</f>
        <v>0</v>
      </c>
      <c r="R83" s="195" t="str">
        <f>IFERROR(INDEX(Расходка[Наименование расходного материала],MATCH(Расходка[[#This Row],[№]],Поиск_расходки[Индекс1],0)),"")</f>
        <v/>
      </c>
      <c r="S83" s="195" t="str">
        <f>IFERROR(INDEX(Расходка[Наименование расходного материала],MATCH(Расходка[[#This Row],[№]],Поиск_расходки[Индекс2],0)),"")</f>
        <v/>
      </c>
      <c r="T83" s="195" t="str">
        <f>IFERROR(INDEX(Расходка[Наименование расходного материала],MATCH(Расходка[[#This Row],[№]],Поиск_расходки[Индекс3],0)),"")</f>
        <v/>
      </c>
      <c r="U83" s="195" t="str">
        <f>IFERROR(INDEX(Расходка[Наименование расходного материала],MATCH(Расходка[[#This Row],[№]],Поиск_расходки[Индекс4],0)),"")</f>
        <v/>
      </c>
      <c r="V83" s="195" t="str">
        <f>IFERROR(INDEX(Расходка[Наименование расходного материала],MATCH(Расходка[[#This Row],[№]],Поиск_расходки[Индекс5],0)),"")</f>
        <v/>
      </c>
      <c r="W83" s="195" t="str">
        <f>IFERROR(INDEX(Расходка[Наименование расходного материала],MATCH(Расходка[[#This Row],[№]],Поиск_расходки[Индекс6],0)),"")</f>
        <v/>
      </c>
      <c r="X83" s="195" t="str">
        <f>IFERROR(INDEX(Расходка[Наименование расходного материала],MATCH(Расходка[[#This Row],[№]],Поиск_расходки[Индекс7],0)),"")</f>
        <v/>
      </c>
      <c r="Y83" s="195" t="str">
        <f>IFERROR(INDEX(Расходка[Наименование расходного материала],MATCH(Расходка[[#This Row],[№]],Поиск_расходки[Индекс8],0)),"")</f>
        <v/>
      </c>
      <c r="Z83" s="195" t="str">
        <f>IFERROR(INDEX(Расходка[Наименование расходного материала],MATCH(Расходка[[#This Row],[№]],Поиск_расходки[Индекс9],0)),"")</f>
        <v/>
      </c>
      <c r="AA83" s="195" t="str">
        <f>IFERROR(INDEX(Расходка[Наименование расходного материала],MATCH(Расходка[[#This Row],[№]],Поиск_расходки[Индекс10],0)),"")</f>
        <v/>
      </c>
      <c r="AB83" s="195" t="str">
        <f>IFERROR(INDEX(Расходка[Наименование расходного материала],MATCH(Расходка[[#This Row],[№]],Поиск_расходки[Индекс11],0)),"")</f>
        <v/>
      </c>
      <c r="AC83" s="195" t="str">
        <f>IFERROR(INDEX(Расходка[Наименование расходного материала],MATCH(Расходка[[#This Row],[№]],Поиск_расходки[Индекс12],0)),"")</f>
        <v/>
      </c>
      <c r="AD83" s="195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470</v>
      </c>
    </row>
    <row r="84" spans="5:33">
      <c r="AF84" s="4" t="s">
        <v>6</v>
      </c>
      <c r="AG84" s="4" t="s">
        <v>421</v>
      </c>
    </row>
    <row r="85" spans="5:33">
      <c r="AF85" s="4" t="s">
        <v>6</v>
      </c>
      <c r="AG85" s="4" t="s">
        <v>422</v>
      </c>
    </row>
    <row r="86" spans="5:33">
      <c r="AF86" s="4" t="s">
        <v>6</v>
      </c>
      <c r="AG86" s="4" t="s">
        <v>471</v>
      </c>
    </row>
    <row r="87" spans="5:33">
      <c r="AF87" s="4" t="s">
        <v>6</v>
      </c>
      <c r="AG87" s="4" t="s">
        <v>472</v>
      </c>
    </row>
    <row r="88" spans="5:33">
      <c r="AF88" s="4" t="s">
        <v>6</v>
      </c>
      <c r="AG88" s="4" t="s">
        <v>473</v>
      </c>
    </row>
    <row r="89" spans="5:33">
      <c r="AF89" s="4" t="s">
        <v>6</v>
      </c>
      <c r="AG89" s="4" t="s">
        <v>474</v>
      </c>
    </row>
    <row r="90" spans="5:33">
      <c r="AF90" s="4" t="s">
        <v>6</v>
      </c>
      <c r="AG90" s="4" t="s">
        <v>475</v>
      </c>
    </row>
    <row r="91" spans="5:33">
      <c r="AF91" s="4" t="s">
        <v>6</v>
      </c>
      <c r="AG91" s="4" t="s">
        <v>476</v>
      </c>
    </row>
    <row r="92" spans="5:33">
      <c r="AF92" s="4" t="s">
        <v>6</v>
      </c>
      <c r="AG92" s="4" t="s">
        <v>477</v>
      </c>
    </row>
    <row r="93" spans="5:33">
      <c r="AF93" s="4" t="s">
        <v>6</v>
      </c>
      <c r="AG93" s="4" t="s">
        <v>478</v>
      </c>
    </row>
    <row r="94" spans="5:33">
      <c r="AF94" s="4" t="s">
        <v>6</v>
      </c>
      <c r="AG94" s="4" t="s">
        <v>425</v>
      </c>
    </row>
    <row r="95" spans="5:33">
      <c r="AF95" s="4" t="s">
        <v>6</v>
      </c>
      <c r="AG95" s="4" t="s">
        <v>426</v>
      </c>
    </row>
    <row r="96" spans="5:33">
      <c r="AF96" s="4" t="s">
        <v>6</v>
      </c>
      <c r="AG96" s="4" t="s">
        <v>479</v>
      </c>
    </row>
    <row r="97" spans="32:33">
      <c r="AF97" s="4" t="s">
        <v>6</v>
      </c>
      <c r="AG97" s="4" t="s">
        <v>480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90" zoomScaleNormal="90" workbookViewId="0">
      <selection activeCell="B4" sqref="B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530</v>
      </c>
      <c r="C3" t="str">
        <f t="shared" si="0"/>
        <v>И/О заведующего отделения: М.А. Дибиров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511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520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502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521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529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500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6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378</v>
      </c>
    </row>
    <row r="2" spans="1:1">
      <c r="A2" t="s">
        <v>375</v>
      </c>
    </row>
    <row r="3" spans="1:1">
      <c r="A3" t="s">
        <v>379</v>
      </c>
    </row>
    <row r="4" spans="1:1">
      <c r="A4" t="s">
        <v>380</v>
      </c>
    </row>
    <row r="5" spans="1:1">
      <c r="A5" t="s">
        <v>376</v>
      </c>
    </row>
    <row r="6" spans="1:1">
      <c r="A6" t="s">
        <v>377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2025-04-24T15:13:55Z</cp:lastPrinted>
  <dcterms:created xsi:type="dcterms:W3CDTF">2015-06-05T18:19:34Z</dcterms:created>
  <dcterms:modified xsi:type="dcterms:W3CDTF">2025-04-24T15:16:14Z</dcterms:modified>
</cp:coreProperties>
</file>