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-120" yWindow="-120" windowWidth="29040" windowHeight="15840" activeTab="1"/>
  </bookViews>
  <sheets>
    <sheet name="КАГ" sheetId="6" r:id="rId1"/>
    <sheet name="ЧКВ" sheetId="9" r:id="rId2"/>
    <sheet name="КАГ to 1C" sheetId="11" r:id="rId3"/>
    <sheet name="Карта учёта" sheetId="3" r:id="rId4"/>
    <sheet name="Вмешательства" sheetId="4" r:id="rId5"/>
    <sheet name="Расходный материал" sheetId="1" r:id="rId6"/>
    <sheet name="Сотрудники" sheetId="5" r:id="rId7"/>
    <sheet name="Остальное" sheetId="10" r:id="rId8"/>
  </sheets>
  <externalReferences>
    <externalReference r:id="rId9"/>
  </externalReferences>
  <definedNames>
    <definedName name="_xlnm._FilterDatabase" localSheetId="0" hidden="1">КАГ!#REF!</definedName>
    <definedName name="_xlnm._FilterDatabase" localSheetId="3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'КАГ to 1C'!$A$3</definedName>
    <definedName name="_xlnm.Print_Area" localSheetId="3">'Карта учёта'!$A$2:$D$40</definedName>
    <definedName name="_xlnm.Print_Area" localSheetId="1">ЧКВ!$A$1:$H$55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3" i="9" l="1"/>
  <c r="A6" i="1" l="1"/>
  <c r="A4" i="1"/>
  <c r="A59" i="1" l="1"/>
  <c r="A56" i="1" l="1"/>
  <c r="A55" i="1"/>
  <c r="A3" i="1"/>
  <c r="A5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7" i="1"/>
  <c r="A58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2" i="1"/>
  <c r="A1" i="11" l="1"/>
  <c r="A3" i="11"/>
  <c r="A18" i="3" l="1"/>
  <c r="C15" i="5" l="1"/>
  <c r="B15" i="9" l="1"/>
  <c r="E71" i="1" l="1"/>
  <c r="E72" i="1"/>
  <c r="E73" i="1"/>
  <c r="E74" i="1"/>
  <c r="E75" i="1"/>
  <c r="E76" i="1"/>
  <c r="E77" i="1"/>
  <c r="E78" i="1"/>
  <c r="F78" i="1"/>
  <c r="C16" i="9" l="1"/>
  <c r="E69" i="1" l="1"/>
  <c r="E70" i="1"/>
  <c r="D42" i="6" l="1"/>
  <c r="H6" i="4" l="1"/>
  <c r="I6" i="4"/>
  <c r="J6" i="4"/>
  <c r="K6" i="4"/>
  <c r="L6" i="4"/>
  <c r="M6" i="4"/>
  <c r="N6" i="4"/>
  <c r="O6" i="4"/>
  <c r="P6" i="4"/>
  <c r="Q6" i="4"/>
  <c r="R6" i="4"/>
  <c r="S6" i="4"/>
  <c r="T6" i="4"/>
  <c r="H7" i="4"/>
  <c r="I7" i="4"/>
  <c r="J7" i="4"/>
  <c r="K7" i="4"/>
  <c r="L7" i="4"/>
  <c r="M7" i="4"/>
  <c r="N7" i="4"/>
  <c r="O7" i="4"/>
  <c r="P7" i="4"/>
  <c r="Q7" i="4"/>
  <c r="R7" i="4"/>
  <c r="S7" i="4"/>
  <c r="T7" i="4"/>
  <c r="H8" i="4"/>
  <c r="I8" i="4"/>
  <c r="J8" i="4"/>
  <c r="K8" i="4"/>
  <c r="L8" i="4"/>
  <c r="M8" i="4"/>
  <c r="N8" i="4"/>
  <c r="O8" i="4"/>
  <c r="P8" i="4"/>
  <c r="Q8" i="4"/>
  <c r="R8" i="4"/>
  <c r="S8" i="4"/>
  <c r="T8" i="4"/>
  <c r="H9" i="4"/>
  <c r="I9" i="4"/>
  <c r="J9" i="4"/>
  <c r="K9" i="4"/>
  <c r="L9" i="4"/>
  <c r="M9" i="4"/>
  <c r="N9" i="4"/>
  <c r="O9" i="4"/>
  <c r="P9" i="4"/>
  <c r="Q9" i="4"/>
  <c r="R9" i="4"/>
  <c r="S9" i="4"/>
  <c r="T9" i="4"/>
  <c r="C11" i="9"/>
  <c r="E38" i="9" l="1"/>
  <c r="H17" i="6" l="1"/>
  <c r="H19" i="9" l="1"/>
  <c r="H20" i="9"/>
  <c r="H21" i="9"/>
  <c r="C4" i="5" l="1"/>
  <c r="C18" i="5" l="1"/>
  <c r="C2" i="3" l="1"/>
  <c r="A16" i="3" l="1"/>
  <c r="B5" i="3" l="1"/>
  <c r="B16" i="9" l="1"/>
  <c r="G17" i="9" l="1"/>
  <c r="Q2" i="1"/>
  <c r="P2" i="1"/>
  <c r="O2" i="1"/>
  <c r="N2" i="1"/>
  <c r="M2" i="1"/>
  <c r="L2" i="1"/>
  <c r="K2" i="1"/>
  <c r="I2" i="1"/>
  <c r="J2" i="1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7" i="9"/>
  <c r="B19" i="9"/>
  <c r="B20" i="9"/>
  <c r="B21" i="9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8" i="9" s="1"/>
  <c r="A7" i="6"/>
  <c r="A25" i="3"/>
  <c r="A26" i="3"/>
  <c r="A27" i="3"/>
  <c r="A13" i="3"/>
  <c r="A14" i="3"/>
  <c r="A15" i="3"/>
  <c r="A17" i="3"/>
  <c r="A19" i="3"/>
  <c r="A20" i="3"/>
  <c r="A21" i="3"/>
  <c r="A22" i="3"/>
  <c r="A23" i="3"/>
  <c r="A24" i="3"/>
  <c r="C13" i="5"/>
  <c r="C3" i="5"/>
  <c r="C5" i="5"/>
  <c r="C6" i="5"/>
  <c r="C7" i="5"/>
  <c r="C8" i="5"/>
  <c r="C9" i="5"/>
  <c r="C10" i="5"/>
  <c r="C11" i="5"/>
  <c r="C12" i="5"/>
  <c r="C14" i="5"/>
  <c r="C16" i="5"/>
  <c r="C17" i="5"/>
  <c r="C2" i="5"/>
  <c r="G22" i="9" l="1"/>
  <c r="H22" i="9"/>
  <c r="A10" i="9"/>
  <c r="A9" i="3" s="1"/>
  <c r="A9" i="9"/>
  <c r="A8" i="3" s="1"/>
  <c r="E3" i="1"/>
  <c r="E4" i="1" s="1"/>
  <c r="Q3" i="1"/>
  <c r="AD2" i="1" s="1"/>
  <c r="P3" i="1"/>
  <c r="P4" i="1" s="1"/>
  <c r="O3" i="1"/>
  <c r="O4" i="1" s="1"/>
  <c r="H3" i="1"/>
  <c r="H4" i="1" s="1"/>
  <c r="I3" i="1"/>
  <c r="L3" i="1"/>
  <c r="L4" i="1" s="1"/>
  <c r="L5" i="1" s="1"/>
  <c r="N3" i="1"/>
  <c r="N4" i="1" s="1"/>
  <c r="N5" i="1" s="1"/>
  <c r="J3" i="1"/>
  <c r="D6" i="3"/>
  <c r="B37" i="3"/>
  <c r="K3" i="1"/>
  <c r="K4" i="1" s="1"/>
  <c r="M3" i="1"/>
  <c r="G3" i="1"/>
  <c r="G4" i="1" s="1"/>
  <c r="A6" i="3"/>
  <c r="F3" i="1"/>
  <c r="E5" i="1" l="1"/>
  <c r="P5" i="1"/>
  <c r="O5" i="1"/>
  <c r="Q4" i="1"/>
  <c r="I4" i="1"/>
  <c r="J4" i="1"/>
  <c r="H5" i="1"/>
  <c r="L6" i="1"/>
  <c r="N6" i="1"/>
  <c r="M4" i="1"/>
  <c r="K5" i="1"/>
  <c r="G5" i="1"/>
  <c r="F4" i="1"/>
  <c r="P6" i="1" l="1"/>
  <c r="Q5" i="1"/>
  <c r="E6" i="1"/>
  <c r="O6" i="1"/>
  <c r="I5" i="1"/>
  <c r="J5" i="1"/>
  <c r="N7" i="1"/>
  <c r="M5" i="1"/>
  <c r="F5" i="1"/>
  <c r="G6" i="1"/>
  <c r="H6" i="1"/>
  <c r="L7" i="1"/>
  <c r="K6" i="1"/>
  <c r="P7" i="1" l="1"/>
  <c r="O7" i="1"/>
  <c r="E7" i="1"/>
  <c r="Q6" i="1"/>
  <c r="J6" i="1"/>
  <c r="N8" i="1"/>
  <c r="F6" i="1"/>
  <c r="I6" i="1"/>
  <c r="G7" i="1"/>
  <c r="M6" i="1"/>
  <c r="H7" i="1"/>
  <c r="L8" i="1"/>
  <c r="K7" i="1"/>
  <c r="P8" i="1" l="1"/>
  <c r="O8" i="1"/>
  <c r="E8" i="1"/>
  <c r="E9" i="1" s="1"/>
  <c r="Q7" i="1"/>
  <c r="E10" i="1"/>
  <c r="J7" i="1"/>
  <c r="G8" i="1"/>
  <c r="N9" i="1"/>
  <c r="I7" i="1"/>
  <c r="F7" i="1"/>
  <c r="M7" i="1"/>
  <c r="H8" i="1"/>
  <c r="L9" i="1"/>
  <c r="K8" i="1"/>
  <c r="O9" i="1" l="1"/>
  <c r="O10" i="1" s="1"/>
  <c r="P9" i="1"/>
  <c r="Q8" i="1"/>
  <c r="Q9" i="1" s="1"/>
  <c r="J8" i="1"/>
  <c r="E11" i="1"/>
  <c r="E12" i="1" s="1"/>
  <c r="E13" i="1" s="1"/>
  <c r="E14" i="1" s="1"/>
  <c r="E15" i="1" s="1"/>
  <c r="M8" i="1"/>
  <c r="N10" i="1"/>
  <c r="I8" i="1"/>
  <c r="G9" i="1"/>
  <c r="H9" i="1"/>
  <c r="F8" i="1"/>
  <c r="K9" i="1"/>
  <c r="L10" i="1"/>
  <c r="O11" i="1" l="1"/>
  <c r="O12" i="1" s="1"/>
  <c r="O13" i="1" s="1"/>
  <c r="O14" i="1" s="1"/>
  <c r="O15" i="1" s="1"/>
  <c r="P10" i="1"/>
  <c r="Q10" i="1"/>
  <c r="Q11" i="1" s="1"/>
  <c r="Q12" i="1" s="1"/>
  <c r="Q13" i="1" s="1"/>
  <c r="G10" i="1"/>
  <c r="G11" i="1" s="1"/>
  <c r="I9" i="1"/>
  <c r="I10" i="1" s="1"/>
  <c r="I11" i="1" s="1"/>
  <c r="I12" i="1" s="1"/>
  <c r="J9" i="1"/>
  <c r="E16" i="1"/>
  <c r="E17" i="1" s="1"/>
  <c r="E18" i="1" s="1"/>
  <c r="E19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L11" i="1"/>
  <c r="L12" i="1" s="1"/>
  <c r="P11" i="1" l="1"/>
  <c r="O16" i="1"/>
  <c r="O17" i="1" s="1"/>
  <c r="O18" i="1" s="1"/>
  <c r="M13" i="1"/>
  <c r="M14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E60" i="1"/>
  <c r="E61" i="1" s="1"/>
  <c r="E62" i="1" s="1"/>
  <c r="F10" i="1"/>
  <c r="F11" i="1" s="1"/>
  <c r="F12" i="1" s="1"/>
  <c r="J10" i="1"/>
  <c r="J11" i="1" s="1"/>
  <c r="N12" i="1"/>
  <c r="N13" i="1" s="1"/>
  <c r="I13" i="1"/>
  <c r="I14" i="1" s="1"/>
  <c r="G12" i="1"/>
  <c r="G13" i="1" s="1"/>
  <c r="H14" i="1"/>
  <c r="H15" i="1" s="1"/>
  <c r="L13" i="1"/>
  <c r="L14" i="1" s="1"/>
  <c r="L15" i="1" s="1"/>
  <c r="K12" i="1"/>
  <c r="P12" i="1" l="1"/>
  <c r="P13" i="1" s="1"/>
  <c r="P14" i="1" s="1"/>
  <c r="O19" i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F13" i="1"/>
  <c r="F14" i="1" s="1"/>
  <c r="F15" i="1" s="1"/>
  <c r="E63" i="1"/>
  <c r="M15" i="1"/>
  <c r="M16" i="1" s="1"/>
  <c r="M17" i="1" s="1"/>
  <c r="J12" i="1"/>
  <c r="J13" i="1" s="1"/>
  <c r="J14" i="1" s="1"/>
  <c r="J15" i="1" s="1"/>
  <c r="J16" i="1" s="1"/>
  <c r="Q58" i="1"/>
  <c r="N14" i="1"/>
  <c r="N15" i="1" s="1"/>
  <c r="I15" i="1"/>
  <c r="I16" i="1" s="1"/>
  <c r="I17" i="1" s="1"/>
  <c r="H16" i="1"/>
  <c r="H17" i="1" s="1"/>
  <c r="K13" i="1"/>
  <c r="K14" i="1" s="1"/>
  <c r="L16" i="1"/>
  <c r="G14" i="1"/>
  <c r="O51" i="1" l="1"/>
  <c r="P15" i="1"/>
  <c r="E64" i="1"/>
  <c r="F16" i="1"/>
  <c r="F17" i="1" s="1"/>
  <c r="N16" i="1"/>
  <c r="N17" i="1" s="1"/>
  <c r="J17" i="1"/>
  <c r="J18" i="1" s="1"/>
  <c r="Q59" i="1"/>
  <c r="Q60" i="1" s="1"/>
  <c r="F18" i="1"/>
  <c r="F19" i="1" s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O52" i="1" l="1"/>
  <c r="O53" i="1" s="1"/>
  <c r="O54" i="1" s="1"/>
  <c r="O55" i="1" s="1"/>
  <c r="P16" i="1"/>
  <c r="E65" i="1"/>
  <c r="N18" i="1"/>
  <c r="N19" i="1" s="1"/>
  <c r="J19" i="1"/>
  <c r="J20" i="1" s="1"/>
  <c r="J21" i="1" s="1"/>
  <c r="AD56" i="1"/>
  <c r="Q61" i="1"/>
  <c r="AD57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L18" i="1"/>
  <c r="G16" i="1"/>
  <c r="G17" i="1" s="1"/>
  <c r="F20" i="1"/>
  <c r="AD59" i="1" l="1"/>
  <c r="O56" i="1"/>
  <c r="O57" i="1" s="1"/>
  <c r="P17" i="1"/>
  <c r="E66" i="1"/>
  <c r="Q62" i="1"/>
  <c r="J22" i="1"/>
  <c r="J23" i="1" s="1"/>
  <c r="J24" i="1" s="1"/>
  <c r="N20" i="1"/>
  <c r="N21" i="1" s="1"/>
  <c r="N22" i="1" s="1"/>
  <c r="K25" i="1"/>
  <c r="K26" i="1" s="1"/>
  <c r="K27" i="1" s="1"/>
  <c r="H24" i="1"/>
  <c r="AD18" i="1"/>
  <c r="G18" i="1"/>
  <c r="G19" i="1" s="1"/>
  <c r="G20" i="1" s="1"/>
  <c r="I27" i="1"/>
  <c r="M22" i="1"/>
  <c r="L19" i="1"/>
  <c r="L20" i="1" s="1"/>
  <c r="F21" i="1"/>
  <c r="AD60" i="1" l="1"/>
  <c r="O58" i="1"/>
  <c r="O59" i="1" s="1"/>
  <c r="P18" i="1"/>
  <c r="E67" i="1"/>
  <c r="Q63" i="1"/>
  <c r="Q64" i="1" s="1"/>
  <c r="Q65" i="1" s="1"/>
  <c r="Q66" i="1" s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AD62" i="1" l="1"/>
  <c r="AD61" i="1"/>
  <c r="O60" i="1"/>
  <c r="O61" i="1" s="1"/>
  <c r="O62" i="1" s="1"/>
  <c r="P19" i="1"/>
  <c r="E68" i="1"/>
  <c r="Q67" i="1"/>
  <c r="AD21" i="1"/>
  <c r="AD19" i="1"/>
  <c r="AD64" i="1"/>
  <c r="AD65" i="1"/>
  <c r="AD63" i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R77" i="1" l="1"/>
  <c r="R78" i="1"/>
  <c r="R75" i="1"/>
  <c r="R76" i="1"/>
  <c r="O63" i="1"/>
  <c r="R73" i="1"/>
  <c r="R74" i="1"/>
  <c r="P20" i="1"/>
  <c r="R64" i="1"/>
  <c r="R71" i="1"/>
  <c r="R72" i="1"/>
  <c r="R57" i="1"/>
  <c r="R69" i="1"/>
  <c r="R60" i="1"/>
  <c r="R62" i="1"/>
  <c r="R58" i="1"/>
  <c r="R63" i="1"/>
  <c r="R59" i="1"/>
  <c r="R56" i="1"/>
  <c r="R66" i="1"/>
  <c r="R68" i="1"/>
  <c r="R67" i="1"/>
  <c r="R65" i="1"/>
  <c r="R61" i="1"/>
  <c r="R70" i="1"/>
  <c r="Q68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F25" i="1"/>
  <c r="AD66" i="1" l="1"/>
  <c r="O64" i="1"/>
  <c r="P21" i="1"/>
  <c r="Q69" i="1"/>
  <c r="AD67" i="1" s="1"/>
  <c r="J49" i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F26" i="1"/>
  <c r="F27" i="1" s="1"/>
  <c r="N26" i="1"/>
  <c r="AB2" i="1"/>
  <c r="O65" i="1" l="1"/>
  <c r="P22" i="1"/>
  <c r="Q70" i="1"/>
  <c r="J50" i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Q71" i="1" l="1"/>
  <c r="Q72" i="1" s="1"/>
  <c r="Q73" i="1" s="1"/>
  <c r="AD68" i="1"/>
  <c r="AD69" i="1"/>
  <c r="O66" i="1"/>
  <c r="O67" i="1" s="1"/>
  <c r="O68" i="1" s="1"/>
  <c r="P23" i="1"/>
  <c r="AD58" i="1"/>
  <c r="AD71" i="1"/>
  <c r="AD70" i="1"/>
  <c r="J52" i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O69" i="1" l="1"/>
  <c r="O70" i="1" s="1"/>
  <c r="O71" i="1" s="1"/>
  <c r="O72" i="1" s="1"/>
  <c r="Q74" i="1"/>
  <c r="AD72" i="1" s="1"/>
  <c r="P24" i="1"/>
  <c r="N29" i="1"/>
  <c r="N30" i="1" s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Q75" i="1" l="1"/>
  <c r="AD73" i="1" s="1"/>
  <c r="O73" i="1"/>
  <c r="P25" i="1"/>
  <c r="J55" i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N31" i="1"/>
  <c r="O74" i="1" l="1"/>
  <c r="Q76" i="1"/>
  <c r="AD74" i="1"/>
  <c r="P26" i="1"/>
  <c r="H65" i="1"/>
  <c r="J67" i="1"/>
  <c r="W2" i="1"/>
  <c r="I54" i="1"/>
  <c r="I55" i="1" s="1"/>
  <c r="I56" i="1" s="1"/>
  <c r="I57" i="1" s="1"/>
  <c r="I58" i="1" s="1"/>
  <c r="I59" i="1" s="1"/>
  <c r="I60" i="1" s="1"/>
  <c r="I61" i="1" s="1"/>
  <c r="I62" i="1" s="1"/>
  <c r="F51" i="1"/>
  <c r="G47" i="1"/>
  <c r="K47" i="1"/>
  <c r="L35" i="1"/>
  <c r="M34" i="1"/>
  <c r="N32" i="1"/>
  <c r="N33" i="1" s="1"/>
  <c r="O75" i="1" l="1"/>
  <c r="O76" i="1" s="1"/>
  <c r="Q77" i="1"/>
  <c r="P27" i="1"/>
  <c r="H66" i="1"/>
  <c r="J68" i="1"/>
  <c r="I63" i="1"/>
  <c r="I64" i="1" s="1"/>
  <c r="I65" i="1" s="1"/>
  <c r="I66" i="1" s="1"/>
  <c r="F52" i="1"/>
  <c r="AD36" i="1"/>
  <c r="G48" i="1"/>
  <c r="K48" i="1"/>
  <c r="L36" i="1"/>
  <c r="M35" i="1"/>
  <c r="N34" i="1"/>
  <c r="N35" i="1" s="1"/>
  <c r="N36" i="1" s="1"/>
  <c r="N37" i="1" s="1"/>
  <c r="N38" i="1" s="1"/>
  <c r="N39" i="1" s="1"/>
  <c r="N40" i="1" s="1"/>
  <c r="N41" i="1" s="1"/>
  <c r="N42" i="1" s="1"/>
  <c r="Q78" i="1" l="1"/>
  <c r="AD78" i="1" s="1"/>
  <c r="AD75" i="1"/>
  <c r="O77" i="1"/>
  <c r="AD76" i="1"/>
  <c r="P28" i="1"/>
  <c r="I67" i="1"/>
  <c r="I68" i="1" s="1"/>
  <c r="I69" i="1" s="1"/>
  <c r="H67" i="1"/>
  <c r="J69" i="1"/>
  <c r="AD37" i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L37" i="1"/>
  <c r="M36" i="1"/>
  <c r="O78" i="1" l="1"/>
  <c r="AB67" i="1" s="1"/>
  <c r="AD77" i="1"/>
  <c r="P29" i="1"/>
  <c r="J70" i="1"/>
  <c r="I70" i="1"/>
  <c r="H68" i="1"/>
  <c r="H69" i="1" s="1"/>
  <c r="H70" i="1" s="1"/>
  <c r="H71" i="1" s="1"/>
  <c r="H72" i="1" s="1"/>
  <c r="F63" i="1"/>
  <c r="F64" i="1" s="1"/>
  <c r="F65" i="1" s="1"/>
  <c r="F66" i="1" s="1"/>
  <c r="F67" i="1" s="1"/>
  <c r="F68" i="1" s="1"/>
  <c r="F69" i="1" s="1"/>
  <c r="K51" i="1"/>
  <c r="G50" i="1"/>
  <c r="AD38" i="1"/>
  <c r="N44" i="1"/>
  <c r="L38" i="1"/>
  <c r="L39" i="1" s="1"/>
  <c r="M37" i="1"/>
  <c r="AB43" i="1" l="1"/>
  <c r="AB73" i="1"/>
  <c r="AB31" i="1"/>
  <c r="AB59" i="1"/>
  <c r="AB42" i="1"/>
  <c r="AB60" i="1"/>
  <c r="AB65" i="1"/>
  <c r="AB75" i="1"/>
  <c r="AB71" i="1"/>
  <c r="AB72" i="1"/>
  <c r="AB36" i="1"/>
  <c r="AB34" i="1"/>
  <c r="AB78" i="1"/>
  <c r="AB18" i="1"/>
  <c r="AB19" i="1"/>
  <c r="AB32" i="1"/>
  <c r="AB63" i="1"/>
  <c r="AB5" i="1"/>
  <c r="AB66" i="1"/>
  <c r="AB22" i="1"/>
  <c r="AB4" i="1"/>
  <c r="AB21" i="1"/>
  <c r="AB30" i="1"/>
  <c r="AB16" i="1"/>
  <c r="AB74" i="1"/>
  <c r="AB40" i="1"/>
  <c r="AB39" i="1"/>
  <c r="AB76" i="1"/>
  <c r="AB57" i="1"/>
  <c r="AB61" i="1"/>
  <c r="AB29" i="1"/>
  <c r="AB26" i="1"/>
  <c r="AB17" i="1"/>
  <c r="AB64" i="1"/>
  <c r="AB70" i="1"/>
  <c r="AB37" i="1"/>
  <c r="AB38" i="1"/>
  <c r="AB13" i="1"/>
  <c r="AB68" i="1"/>
  <c r="AB33" i="1"/>
  <c r="AB41" i="1"/>
  <c r="AB62" i="1"/>
  <c r="AB58" i="1"/>
  <c r="AB25" i="1"/>
  <c r="AB7" i="1"/>
  <c r="AB15" i="1"/>
  <c r="AB69" i="1"/>
  <c r="AB56" i="1"/>
  <c r="AB6" i="1"/>
  <c r="AB77" i="1"/>
  <c r="V2" i="1"/>
  <c r="P30" i="1"/>
  <c r="H73" i="1"/>
  <c r="J71" i="1"/>
  <c r="I71" i="1"/>
  <c r="F70" i="1"/>
  <c r="F71" i="1" s="1"/>
  <c r="F72" i="1" s="1"/>
  <c r="F73" i="1" s="1"/>
  <c r="K52" i="1"/>
  <c r="K53" i="1" s="1"/>
  <c r="G51" i="1"/>
  <c r="AD39" i="1"/>
  <c r="AB46" i="1"/>
  <c r="N45" i="1"/>
  <c r="L40" i="1"/>
  <c r="M38" i="1"/>
  <c r="M39" i="1" s="1"/>
  <c r="M40" i="1" s="1"/>
  <c r="H74" i="1" l="1"/>
  <c r="F74" i="1"/>
  <c r="F75" i="1" s="1"/>
  <c r="F76" i="1" s="1"/>
  <c r="F77" i="1" s="1"/>
  <c r="P31" i="1"/>
  <c r="I72" i="1"/>
  <c r="J72" i="1"/>
  <c r="N46" i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AB23" i="1"/>
  <c r="AB47" i="1"/>
  <c r="M41" i="1"/>
  <c r="L41" i="1"/>
  <c r="S77" i="1" l="1"/>
  <c r="S78" i="1"/>
  <c r="S2" i="1"/>
  <c r="S66" i="1"/>
  <c r="S76" i="1"/>
  <c r="S56" i="1"/>
  <c r="S67" i="1"/>
  <c r="S55" i="1"/>
  <c r="S44" i="1"/>
  <c r="S71" i="1"/>
  <c r="S48" i="1"/>
  <c r="S61" i="1"/>
  <c r="S70" i="1"/>
  <c r="S72" i="1"/>
  <c r="S52" i="1"/>
  <c r="S65" i="1"/>
  <c r="S45" i="1"/>
  <c r="S41" i="1"/>
  <c r="S51" i="1"/>
  <c r="S47" i="1"/>
  <c r="S64" i="1"/>
  <c r="S60" i="1"/>
  <c r="H75" i="1"/>
  <c r="S74" i="1"/>
  <c r="S75" i="1"/>
  <c r="S54" i="1"/>
  <c r="S68" i="1"/>
  <c r="S53" i="1"/>
  <c r="S49" i="1"/>
  <c r="S63" i="1"/>
  <c r="S46" i="1"/>
  <c r="S40" i="1"/>
  <c r="S62" i="1"/>
  <c r="S69" i="1"/>
  <c r="S50" i="1"/>
  <c r="S42" i="1"/>
  <c r="S57" i="1"/>
  <c r="S58" i="1"/>
  <c r="S39" i="1"/>
  <c r="S59" i="1"/>
  <c r="S43" i="1"/>
  <c r="S73" i="1"/>
  <c r="P32" i="1"/>
  <c r="J73" i="1"/>
  <c r="I73" i="1"/>
  <c r="K67" i="1"/>
  <c r="G53" i="1"/>
  <c r="N49" i="1"/>
  <c r="N50" i="1" s="1"/>
  <c r="AB35" i="1"/>
  <c r="AD22" i="1"/>
  <c r="AB44" i="1"/>
  <c r="AB48" i="1"/>
  <c r="M42" i="1"/>
  <c r="L42" i="1"/>
  <c r="S4" i="1"/>
  <c r="S5" i="1"/>
  <c r="S3" i="1"/>
  <c r="S37" i="1"/>
  <c r="S35" i="1"/>
  <c r="S19" i="1"/>
  <c r="S6" i="1"/>
  <c r="S27" i="1"/>
  <c r="S11" i="1"/>
  <c r="S23" i="1"/>
  <c r="S21" i="1"/>
  <c r="S14" i="1"/>
  <c r="S12" i="1"/>
  <c r="S7" i="1"/>
  <c r="S25" i="1"/>
  <c r="S22" i="1"/>
  <c r="S31" i="1"/>
  <c r="S38" i="1"/>
  <c r="S36" i="1"/>
  <c r="S34" i="1"/>
  <c r="S8" i="1"/>
  <c r="S16" i="1"/>
  <c r="S13" i="1"/>
  <c r="S26" i="1"/>
  <c r="S29" i="1"/>
  <c r="S9" i="1"/>
  <c r="S15" i="1"/>
  <c r="S24" i="1"/>
  <c r="S10" i="1"/>
  <c r="S18" i="1"/>
  <c r="S20" i="1"/>
  <c r="S17" i="1"/>
  <c r="S30" i="1"/>
  <c r="S33" i="1"/>
  <c r="S28" i="1"/>
  <c r="S32" i="1"/>
  <c r="H76" i="1" l="1"/>
  <c r="H77" i="1" s="1"/>
  <c r="J74" i="1"/>
  <c r="I74" i="1"/>
  <c r="P33" i="1"/>
  <c r="K68" i="1"/>
  <c r="G54" i="1"/>
  <c r="R2" i="1"/>
  <c r="N51" i="1"/>
  <c r="N52" i="1" s="1"/>
  <c r="N53" i="1" s="1"/>
  <c r="N54" i="1" s="1"/>
  <c r="N55" i="1" s="1"/>
  <c r="AB45" i="1"/>
  <c r="M43" i="1"/>
  <c r="L43" i="1"/>
  <c r="U53" i="1" l="1"/>
  <c r="H78" i="1"/>
  <c r="U2" i="1" s="1"/>
  <c r="U64" i="1"/>
  <c r="U46" i="1"/>
  <c r="U66" i="1"/>
  <c r="U51" i="1"/>
  <c r="U57" i="1"/>
  <c r="U70" i="1"/>
  <c r="U47" i="1"/>
  <c r="U52" i="1"/>
  <c r="U56" i="1"/>
  <c r="U45" i="1"/>
  <c r="U44" i="1"/>
  <c r="U61" i="1"/>
  <c r="U41" i="1"/>
  <c r="U59" i="1"/>
  <c r="U69" i="1"/>
  <c r="U54" i="1"/>
  <c r="U58" i="1"/>
  <c r="U72" i="1"/>
  <c r="U55" i="1"/>
  <c r="U40" i="1"/>
  <c r="U73" i="1"/>
  <c r="U42" i="1"/>
  <c r="U60" i="1"/>
  <c r="U68" i="1"/>
  <c r="U39" i="1"/>
  <c r="U75" i="1"/>
  <c r="U63" i="1"/>
  <c r="U74" i="1"/>
  <c r="U49" i="1"/>
  <c r="U67" i="1"/>
  <c r="U43" i="1"/>
  <c r="U71" i="1"/>
  <c r="U62" i="1"/>
  <c r="U48" i="1"/>
  <c r="U50" i="1"/>
  <c r="U65" i="1"/>
  <c r="U78" i="1"/>
  <c r="U76" i="1"/>
  <c r="U77" i="1"/>
  <c r="J75" i="1"/>
  <c r="I75" i="1"/>
  <c r="P34" i="1"/>
  <c r="K69" i="1"/>
  <c r="N56" i="1"/>
  <c r="N57" i="1" s="1"/>
  <c r="N58" i="1" s="1"/>
  <c r="G55" i="1"/>
  <c r="AB49" i="1"/>
  <c r="AD35" i="1"/>
  <c r="L44" i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I76" i="1" l="1"/>
  <c r="J76" i="1"/>
  <c r="P35" i="1"/>
  <c r="K70" i="1"/>
  <c r="K71" i="1" s="1"/>
  <c r="N59" i="1"/>
  <c r="G56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I77" i="1" l="1"/>
  <c r="J77" i="1"/>
  <c r="J78" i="1" s="1"/>
  <c r="P36" i="1"/>
  <c r="K72" i="1"/>
  <c r="N60" i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I78" i="1" l="1"/>
  <c r="V50" i="1" s="1"/>
  <c r="W54" i="1"/>
  <c r="W78" i="1"/>
  <c r="V62" i="1"/>
  <c r="W77" i="1"/>
  <c r="W51" i="1"/>
  <c r="W74" i="1"/>
  <c r="W64" i="1"/>
  <c r="W58" i="1"/>
  <c r="W57" i="1"/>
  <c r="W56" i="1"/>
  <c r="W65" i="1"/>
  <c r="W45" i="1"/>
  <c r="W60" i="1"/>
  <c r="W39" i="1"/>
  <c r="W62" i="1"/>
  <c r="W46" i="1"/>
  <c r="W67" i="1"/>
  <c r="W59" i="1"/>
  <c r="W52" i="1"/>
  <c r="W3" i="1"/>
  <c r="W76" i="1"/>
  <c r="W70" i="1"/>
  <c r="W72" i="1"/>
  <c r="W73" i="1"/>
  <c r="W68" i="1"/>
  <c r="W55" i="1"/>
  <c r="W44" i="1"/>
  <c r="W61" i="1"/>
  <c r="W40" i="1"/>
  <c r="W53" i="1"/>
  <c r="W47" i="1"/>
  <c r="W41" i="1"/>
  <c r="W43" i="1"/>
  <c r="W63" i="1"/>
  <c r="W49" i="1"/>
  <c r="W66" i="1"/>
  <c r="V58" i="1"/>
  <c r="V55" i="1"/>
  <c r="V74" i="1"/>
  <c r="V47" i="1"/>
  <c r="V70" i="1"/>
  <c r="V65" i="1"/>
  <c r="V42" i="1"/>
  <c r="V39" i="1"/>
  <c r="V73" i="1"/>
  <c r="V68" i="1"/>
  <c r="V52" i="1"/>
  <c r="V63" i="1"/>
  <c r="V49" i="1"/>
  <c r="V45" i="1"/>
  <c r="V59" i="1"/>
  <c r="V75" i="1"/>
  <c r="V41" i="1"/>
  <c r="V51" i="1"/>
  <c r="V67" i="1"/>
  <c r="V46" i="1"/>
  <c r="V54" i="1"/>
  <c r="V72" i="1"/>
  <c r="V48" i="1"/>
  <c r="V53" i="1"/>
  <c r="V56" i="1"/>
  <c r="V40" i="1"/>
  <c r="V61" i="1"/>
  <c r="V64" i="1"/>
  <c r="V66" i="1"/>
  <c r="V43" i="1"/>
  <c r="V44" i="1"/>
  <c r="V69" i="1"/>
  <c r="V60" i="1"/>
  <c r="V57" i="1"/>
  <c r="V71" i="1"/>
  <c r="V76" i="1"/>
  <c r="W71" i="1"/>
  <c r="W75" i="1"/>
  <c r="W42" i="1"/>
  <c r="W50" i="1"/>
  <c r="W48" i="1"/>
  <c r="W69" i="1"/>
  <c r="N61" i="1"/>
  <c r="N62" i="1" s="1"/>
  <c r="N63" i="1" s="1"/>
  <c r="N64" i="1" s="1"/>
  <c r="N65" i="1" s="1"/>
  <c r="N66" i="1" s="1"/>
  <c r="P37" i="1"/>
  <c r="K73" i="1"/>
  <c r="G61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V77" i="1" l="1"/>
  <c r="V78" i="1"/>
  <c r="V7" i="1"/>
  <c r="V13" i="1"/>
  <c r="V5" i="1"/>
  <c r="V17" i="1"/>
  <c r="V23" i="1"/>
  <c r="V32" i="1"/>
  <c r="V21" i="1"/>
  <c r="V24" i="1"/>
  <c r="V30" i="1"/>
  <c r="V3" i="1"/>
  <c r="V6" i="1"/>
  <c r="V25" i="1"/>
  <c r="V35" i="1"/>
  <c r="V18" i="1"/>
  <c r="V4" i="1"/>
  <c r="V12" i="1"/>
  <c r="V36" i="1"/>
  <c r="V31" i="1"/>
  <c r="V28" i="1"/>
  <c r="V9" i="1"/>
  <c r="V10" i="1"/>
  <c r="V14" i="1"/>
  <c r="V20" i="1"/>
  <c r="V27" i="1"/>
  <c r="V37" i="1"/>
  <c r="V22" i="1"/>
  <c r="V16" i="1"/>
  <c r="V33" i="1"/>
  <c r="V8" i="1"/>
  <c r="V34" i="1"/>
  <c r="V15" i="1"/>
  <c r="V29" i="1"/>
  <c r="V11" i="1"/>
  <c r="V19" i="1"/>
  <c r="V26" i="1"/>
  <c r="V38" i="1"/>
  <c r="N67" i="1"/>
  <c r="N68" i="1" s="1"/>
  <c r="K74" i="1"/>
  <c r="P38" i="1"/>
  <c r="G62" i="1"/>
  <c r="G63" i="1" s="1"/>
  <c r="M51" i="1"/>
  <c r="M52" i="1" s="1"/>
  <c r="M53" i="1" s="1"/>
  <c r="L50" i="1"/>
  <c r="K75" i="1" l="1"/>
  <c r="P39" i="1"/>
  <c r="N69" i="1"/>
  <c r="G64" i="1"/>
  <c r="M54" i="1"/>
  <c r="M55" i="1" s="1"/>
  <c r="L51" i="1"/>
  <c r="L52" i="1" s="1"/>
  <c r="L53" i="1" s="1"/>
  <c r="K76" i="1" l="1"/>
  <c r="P40" i="1"/>
  <c r="N70" i="1"/>
  <c r="G65" i="1"/>
  <c r="M56" i="1"/>
  <c r="M57" i="1" s="1"/>
  <c r="L54" i="1"/>
  <c r="P41" i="1" l="1"/>
  <c r="G66" i="1"/>
  <c r="G67" i="1" s="1"/>
  <c r="G68" i="1" s="1"/>
  <c r="G69" i="1" s="1"/>
  <c r="G70" i="1" s="1"/>
  <c r="G71" i="1" s="1"/>
  <c r="G72" i="1" s="1"/>
  <c r="K77" i="1"/>
  <c r="K78" i="1" s="1"/>
  <c r="AA2" i="1"/>
  <c r="N71" i="1"/>
  <c r="M58" i="1"/>
  <c r="M59" i="1" s="1"/>
  <c r="M60" i="1" s="1"/>
  <c r="L55" i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P42" i="1" l="1"/>
  <c r="X56" i="1"/>
  <c r="X78" i="1"/>
  <c r="G73" i="1"/>
  <c r="X26" i="1"/>
  <c r="X6" i="1"/>
  <c r="X42" i="1"/>
  <c r="X48" i="1"/>
  <c r="X45" i="1"/>
  <c r="X29" i="1"/>
  <c r="X67" i="1"/>
  <c r="X59" i="1"/>
  <c r="X34" i="1"/>
  <c r="X72" i="1"/>
  <c r="X10" i="1"/>
  <c r="X74" i="1"/>
  <c r="X53" i="1"/>
  <c r="X65" i="1"/>
  <c r="X73" i="1"/>
  <c r="X71" i="1"/>
  <c r="X50" i="1"/>
  <c r="X4" i="1"/>
  <c r="X41" i="1"/>
  <c r="X77" i="1"/>
  <c r="X16" i="1"/>
  <c r="X23" i="1"/>
  <c r="X37" i="1"/>
  <c r="X54" i="1"/>
  <c r="X44" i="1"/>
  <c r="X66" i="1"/>
  <c r="X24" i="1"/>
  <c r="X13" i="1"/>
  <c r="X39" i="1"/>
  <c r="X9" i="1"/>
  <c r="X43" i="1"/>
  <c r="X2" i="1"/>
  <c r="X11" i="1"/>
  <c r="X47" i="1"/>
  <c r="X38" i="1"/>
  <c r="X32" i="1"/>
  <c r="X3" i="1"/>
  <c r="X76" i="1"/>
  <c r="X20" i="1"/>
  <c r="X40" i="1"/>
  <c r="X12" i="1"/>
  <c r="X8" i="1"/>
  <c r="X17" i="1"/>
  <c r="X14" i="1"/>
  <c r="X15" i="1"/>
  <c r="X68" i="1"/>
  <c r="X61" i="1"/>
  <c r="X21" i="1"/>
  <c r="X30" i="1"/>
  <c r="X28" i="1"/>
  <c r="X62" i="1"/>
  <c r="X64" i="1"/>
  <c r="X63" i="1"/>
  <c r="X18" i="1"/>
  <c r="X35" i="1"/>
  <c r="X57" i="1"/>
  <c r="X46" i="1"/>
  <c r="X51" i="1"/>
  <c r="X22" i="1"/>
  <c r="X70" i="1"/>
  <c r="X36" i="1"/>
  <c r="X49" i="1"/>
  <c r="X60" i="1"/>
  <c r="X5" i="1"/>
  <c r="X25" i="1"/>
  <c r="X75" i="1"/>
  <c r="X69" i="1"/>
  <c r="X19" i="1"/>
  <c r="X33" i="1"/>
  <c r="X7" i="1"/>
  <c r="X27" i="1"/>
  <c r="X55" i="1"/>
  <c r="X58" i="1"/>
  <c r="X52" i="1"/>
  <c r="X31" i="1"/>
  <c r="G74" i="1"/>
  <c r="G75" i="1" s="1"/>
  <c r="N72" i="1"/>
  <c r="N73" i="1" s="1"/>
  <c r="L67" i="1"/>
  <c r="M61" i="1"/>
  <c r="P43" i="1" l="1"/>
  <c r="G76" i="1"/>
  <c r="G77" i="1" s="1"/>
  <c r="N74" i="1"/>
  <c r="L68" i="1"/>
  <c r="M62" i="1"/>
  <c r="G78" i="1" l="1"/>
  <c r="T3" i="1" s="1"/>
  <c r="T2" i="1"/>
  <c r="T47" i="1"/>
  <c r="P44" i="1"/>
  <c r="T6" i="1"/>
  <c r="N75" i="1"/>
  <c r="L69" i="1"/>
  <c r="M63" i="1"/>
  <c r="M64" i="1" s="1"/>
  <c r="M65" i="1" s="1"/>
  <c r="M66" i="1" s="1"/>
  <c r="T4" i="1" l="1"/>
  <c r="T49" i="1"/>
  <c r="T66" i="1"/>
  <c r="T65" i="1"/>
  <c r="T77" i="1"/>
  <c r="T74" i="1"/>
  <c r="T73" i="1"/>
  <c r="T71" i="1"/>
  <c r="T33" i="1"/>
  <c r="T39" i="1"/>
  <c r="T10" i="1"/>
  <c r="T35" i="1"/>
  <c r="T59" i="1"/>
  <c r="T22" i="1"/>
  <c r="T55" i="1"/>
  <c r="T16" i="1"/>
  <c r="T32" i="1"/>
  <c r="T42" i="1"/>
  <c r="T62" i="1"/>
  <c r="T30" i="1"/>
  <c r="T45" i="1"/>
  <c r="T68" i="1"/>
  <c r="T20" i="1"/>
  <c r="T28" i="1"/>
  <c r="T31" i="1"/>
  <c r="T25" i="1"/>
  <c r="T21" i="1"/>
  <c r="T9" i="1"/>
  <c r="T60" i="1"/>
  <c r="T37" i="1"/>
  <c r="T52" i="1"/>
  <c r="T12" i="1"/>
  <c r="T54" i="1"/>
  <c r="T38" i="1"/>
  <c r="T67" i="1"/>
  <c r="T51" i="1"/>
  <c r="T8" i="1"/>
  <c r="T7" i="1"/>
  <c r="T23" i="1"/>
  <c r="T27" i="1"/>
  <c r="T14" i="1"/>
  <c r="T56" i="1"/>
  <c r="T63" i="1"/>
  <c r="T18" i="1"/>
  <c r="T57" i="1"/>
  <c r="T72" i="1"/>
  <c r="T11" i="1"/>
  <c r="T70" i="1"/>
  <c r="T61" i="1"/>
  <c r="T69" i="1"/>
  <c r="T41" i="1"/>
  <c r="T36" i="1"/>
  <c r="T13" i="1"/>
  <c r="T53" i="1"/>
  <c r="T29" i="1"/>
  <c r="T26" i="1"/>
  <c r="T19" i="1"/>
  <c r="T78" i="1"/>
  <c r="T34" i="1"/>
  <c r="T64" i="1"/>
  <c r="T50" i="1"/>
  <c r="T44" i="1"/>
  <c r="T46" i="1"/>
  <c r="T15" i="1"/>
  <c r="T76" i="1"/>
  <c r="T5" i="1"/>
  <c r="T75" i="1"/>
  <c r="T40" i="1"/>
  <c r="T58" i="1"/>
  <c r="T17" i="1"/>
  <c r="T48" i="1"/>
  <c r="T24" i="1"/>
  <c r="T43" i="1"/>
  <c r="P45" i="1"/>
  <c r="N76" i="1"/>
  <c r="L70" i="1"/>
  <c r="M67" i="1"/>
  <c r="P46" i="1" l="1"/>
  <c r="N77" i="1"/>
  <c r="L71" i="1"/>
  <c r="L72" i="1" s="1"/>
  <c r="L73" i="1" s="1"/>
  <c r="M68" i="1"/>
  <c r="P47" i="1" l="1"/>
  <c r="N78" i="1"/>
  <c r="AA59" i="1" s="1"/>
  <c r="L74" i="1"/>
  <c r="L75" i="1" s="1"/>
  <c r="M69" i="1"/>
  <c r="P48" i="1" l="1"/>
  <c r="AA76" i="1"/>
  <c r="AA44" i="1"/>
  <c r="AA51" i="1"/>
  <c r="AA15" i="1"/>
  <c r="AA56" i="1"/>
  <c r="AA63" i="1"/>
  <c r="AA11" i="1"/>
  <c r="AA22" i="1"/>
  <c r="AA18" i="1"/>
  <c r="AA12" i="1"/>
  <c r="AA62" i="1"/>
  <c r="AA27" i="1"/>
  <c r="AA29" i="1"/>
  <c r="AA32" i="1"/>
  <c r="AA24" i="1"/>
  <c r="AA49" i="1"/>
  <c r="AA14" i="1"/>
  <c r="AA21" i="1"/>
  <c r="AA61" i="1"/>
  <c r="AA8" i="1"/>
  <c r="AA9" i="1"/>
  <c r="AA33" i="1"/>
  <c r="AA35" i="1"/>
  <c r="AA5" i="1"/>
  <c r="AA55" i="1"/>
  <c r="AA10" i="1"/>
  <c r="AA4" i="1"/>
  <c r="AA23" i="1"/>
  <c r="AA78" i="1"/>
  <c r="AA75" i="1"/>
  <c r="AA43" i="1"/>
  <c r="AA41" i="1"/>
  <c r="AA66" i="1"/>
  <c r="AA60" i="1"/>
  <c r="AA67" i="1"/>
  <c r="AA50" i="1"/>
  <c r="AA70" i="1"/>
  <c r="AA3" i="1"/>
  <c r="AA73" i="1"/>
  <c r="AA40" i="1"/>
  <c r="AA69" i="1"/>
  <c r="AA57" i="1"/>
  <c r="AA46" i="1"/>
  <c r="AA54" i="1"/>
  <c r="AA47" i="1"/>
  <c r="AA52" i="1"/>
  <c r="AA68" i="1"/>
  <c r="AA17" i="1"/>
  <c r="AA45" i="1"/>
  <c r="AA64" i="1"/>
  <c r="AA72" i="1"/>
  <c r="AA26" i="1"/>
  <c r="AA31" i="1"/>
  <c r="AA74" i="1"/>
  <c r="AA36" i="1"/>
  <c r="AA39" i="1"/>
  <c r="AA30" i="1"/>
  <c r="AA19" i="1"/>
  <c r="AA28" i="1"/>
  <c r="AA65" i="1"/>
  <c r="AA48" i="1"/>
  <c r="AA7" i="1"/>
  <c r="AA16" i="1"/>
  <c r="AA34" i="1"/>
  <c r="AA42" i="1"/>
  <c r="AA53" i="1"/>
  <c r="AA13" i="1"/>
  <c r="AA25" i="1"/>
  <c r="AA6" i="1"/>
  <c r="AA38" i="1"/>
  <c r="AA71" i="1"/>
  <c r="AA37" i="1"/>
  <c r="AA20" i="1"/>
  <c r="AA58" i="1"/>
  <c r="AA77" i="1"/>
  <c r="L76" i="1"/>
  <c r="M70" i="1"/>
  <c r="P49" i="1" l="1"/>
  <c r="L77" i="1"/>
  <c r="M71" i="1"/>
  <c r="P50" i="1" l="1"/>
  <c r="L78" i="1"/>
  <c r="Y39" i="1" s="1"/>
  <c r="Y27" i="1"/>
  <c r="Y43" i="1"/>
  <c r="Y14" i="1"/>
  <c r="Y53" i="1"/>
  <c r="Y59" i="1"/>
  <c r="Y12" i="1"/>
  <c r="Y40" i="1"/>
  <c r="Y26" i="1"/>
  <c r="Y52" i="1"/>
  <c r="Y54" i="1"/>
  <c r="Y49" i="1"/>
  <c r="Y22" i="1"/>
  <c r="Y68" i="1"/>
  <c r="Y58" i="1"/>
  <c r="Y62" i="1"/>
  <c r="Y18" i="1"/>
  <c r="Y55" i="1"/>
  <c r="Y5" i="1"/>
  <c r="Y46" i="1"/>
  <c r="Y6" i="1"/>
  <c r="Y47" i="1"/>
  <c r="Y65" i="1"/>
  <c r="Y17" i="1"/>
  <c r="Y42" i="1"/>
  <c r="Y15" i="1"/>
  <c r="Y50" i="1"/>
  <c r="Y9" i="1"/>
  <c r="Y13" i="1"/>
  <c r="Y71" i="1"/>
  <c r="Y31" i="1"/>
  <c r="Y51" i="1"/>
  <c r="Y69" i="1"/>
  <c r="Y20" i="1"/>
  <c r="Y16" i="1"/>
  <c r="Y48" i="1"/>
  <c r="Y19" i="1"/>
  <c r="Y36" i="1"/>
  <c r="Y37" i="1"/>
  <c r="Y10" i="1"/>
  <c r="Y61" i="1"/>
  <c r="Y60" i="1"/>
  <c r="Y44" i="1"/>
  <c r="Y8" i="1"/>
  <c r="Y21" i="1"/>
  <c r="Y35" i="1"/>
  <c r="Y28" i="1"/>
  <c r="Y34" i="1"/>
  <c r="Y72" i="1"/>
  <c r="Y67" i="1"/>
  <c r="Y57" i="1"/>
  <c r="Y25" i="1"/>
  <c r="Y7" i="1"/>
  <c r="Y11" i="1"/>
  <c r="Y29" i="1"/>
  <c r="Y41" i="1"/>
  <c r="Y32" i="1"/>
  <c r="Y56" i="1"/>
  <c r="Y23" i="1"/>
  <c r="Y45" i="1"/>
  <c r="Y24" i="1"/>
  <c r="Y4" i="1"/>
  <c r="Y73" i="1"/>
  <c r="Y66" i="1"/>
  <c r="Y33" i="1"/>
  <c r="Y30" i="1"/>
  <c r="Y70" i="1"/>
  <c r="Y74" i="1"/>
  <c r="Y75" i="1"/>
  <c r="Y76" i="1"/>
  <c r="M72" i="1"/>
  <c r="Y78" i="1" l="1"/>
  <c r="Y2" i="1"/>
  <c r="P51" i="1"/>
  <c r="Y64" i="1"/>
  <c r="Y38" i="1"/>
  <c r="Y3" i="1"/>
  <c r="Y63" i="1"/>
  <c r="Y77" i="1"/>
  <c r="M73" i="1"/>
  <c r="P52" i="1" l="1"/>
  <c r="M74" i="1"/>
  <c r="M75" i="1" s="1"/>
  <c r="P53" i="1" l="1"/>
  <c r="M76" i="1"/>
  <c r="P54" i="1" l="1"/>
  <c r="M77" i="1"/>
  <c r="M78" i="1" s="1"/>
  <c r="Z78" i="1" s="1"/>
  <c r="P55" i="1" l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Z3" i="1"/>
  <c r="Z2" i="1"/>
  <c r="Z77" i="1"/>
  <c r="Z64" i="1"/>
  <c r="Z24" i="1"/>
  <c r="Z17" i="1"/>
  <c r="Z56" i="1"/>
  <c r="Z49" i="1"/>
  <c r="Z14" i="1"/>
  <c r="Z52" i="1"/>
  <c r="Z37" i="1"/>
  <c r="Z16" i="1"/>
  <c r="Z19" i="1"/>
  <c r="Z34" i="1"/>
  <c r="Z44" i="1"/>
  <c r="Z10" i="1"/>
  <c r="Z7" i="1"/>
  <c r="Z69" i="1"/>
  <c r="Z31" i="1"/>
  <c r="Z74" i="1"/>
  <c r="Z12" i="1"/>
  <c r="Z27" i="1"/>
  <c r="Z46" i="1"/>
  <c r="Z53" i="1"/>
  <c r="Z61" i="1"/>
  <c r="Z62" i="1"/>
  <c r="Z68" i="1"/>
  <c r="Z63" i="1"/>
  <c r="Z22" i="1"/>
  <c r="Z58" i="1"/>
  <c r="Z72" i="1"/>
  <c r="Z6" i="1"/>
  <c r="Z66" i="1"/>
  <c r="Z50" i="1"/>
  <c r="Z30" i="1"/>
  <c r="Z5" i="1"/>
  <c r="Z47" i="1"/>
  <c r="Z21" i="1"/>
  <c r="Z4" i="1"/>
  <c r="Z32" i="1"/>
  <c r="Z29" i="1"/>
  <c r="Z38" i="1"/>
  <c r="Z57" i="1"/>
  <c r="Z23" i="1"/>
  <c r="Z42" i="1"/>
  <c r="Z60" i="1"/>
  <c r="Z11" i="1"/>
  <c r="Z9" i="1"/>
  <c r="Z20" i="1"/>
  <c r="Z35" i="1"/>
  <c r="Z45" i="1"/>
  <c r="Z18" i="1"/>
  <c r="Z70" i="1"/>
  <c r="Z51" i="1"/>
  <c r="Z13" i="1"/>
  <c r="Z41" i="1"/>
  <c r="Z25" i="1"/>
  <c r="Z54" i="1"/>
  <c r="Z43" i="1"/>
  <c r="Z55" i="1"/>
  <c r="Z65" i="1"/>
  <c r="Z40" i="1"/>
  <c r="Z48" i="1"/>
  <c r="Z26" i="1"/>
  <c r="Z33" i="1"/>
  <c r="Z59" i="1"/>
  <c r="Z39" i="1"/>
  <c r="Z15" i="1"/>
  <c r="Z73" i="1"/>
  <c r="Z36" i="1"/>
  <c r="Z28" i="1"/>
  <c r="Z67" i="1"/>
  <c r="Z8" i="1"/>
  <c r="Z71" i="1"/>
  <c r="Z75" i="1"/>
  <c r="Z76" i="1"/>
  <c r="AC36" i="1" l="1"/>
  <c r="P69" i="1"/>
  <c r="P70" i="1" s="1"/>
  <c r="P71" i="1" s="1"/>
  <c r="P72" i="1" s="1"/>
  <c r="P73" i="1" s="1"/>
  <c r="P74" i="1" s="1"/>
  <c r="P75" i="1" s="1"/>
  <c r="P76" i="1" s="1"/>
  <c r="P77" i="1" s="1"/>
  <c r="P78" i="1" s="1"/>
  <c r="AC31" i="1"/>
  <c r="AC32" i="1"/>
  <c r="AC4" i="1"/>
  <c r="AC8" i="1"/>
  <c r="AC3" i="1"/>
  <c r="AC18" i="1"/>
  <c r="AC17" i="1"/>
  <c r="AC27" i="1"/>
  <c r="AC45" i="1"/>
  <c r="AC54" i="1"/>
  <c r="AC63" i="1"/>
  <c r="AC48" i="1"/>
  <c r="AC68" i="1"/>
  <c r="AC53" i="1"/>
  <c r="AC57" i="1"/>
  <c r="AC64" i="1"/>
  <c r="AC49" i="1"/>
  <c r="AC52" i="1"/>
  <c r="AC59" i="1"/>
  <c r="AC46" i="1"/>
  <c r="AC44" i="1"/>
  <c r="AC6" i="1"/>
  <c r="AC37" i="1"/>
  <c r="AC66" i="1"/>
  <c r="AC9" i="1"/>
  <c r="AC50" i="1"/>
  <c r="AC2" i="1"/>
  <c r="AC34" i="1"/>
  <c r="AC55" i="1"/>
  <c r="AC20" i="1"/>
  <c r="AC29" i="1"/>
  <c r="AC24" i="1"/>
  <c r="AC39" i="1"/>
  <c r="AC28" i="1"/>
  <c r="AC56" i="1"/>
  <c r="AC15" i="1"/>
  <c r="AC25" i="1"/>
  <c r="AC61" i="1"/>
  <c r="AC58" i="1"/>
  <c r="AC5" i="1"/>
  <c r="AC69" i="1"/>
  <c r="AC42" i="1"/>
  <c r="AC35" i="1"/>
  <c r="AC7" i="1"/>
  <c r="AC13" i="1"/>
  <c r="AC16" i="1"/>
  <c r="AC51" i="1"/>
  <c r="AC10" i="1"/>
  <c r="AC38" i="1"/>
  <c r="AC40" i="1"/>
  <c r="AC65" i="1"/>
  <c r="AC30" i="1"/>
  <c r="AC41" i="1"/>
  <c r="AC12" i="1"/>
  <c r="AC70" i="1"/>
  <c r="AC11" i="1"/>
  <c r="AC14" i="1"/>
  <c r="AC26" i="1"/>
  <c r="AC47" i="1"/>
  <c r="AC60" i="1"/>
  <c r="AC19" i="1"/>
  <c r="AC43" i="1"/>
  <c r="AC67" i="1"/>
  <c r="AC21" i="1"/>
  <c r="AC22" i="1"/>
  <c r="AC33" i="1"/>
  <c r="AC62" i="1"/>
  <c r="AC23" i="1"/>
  <c r="AC71" i="1" l="1"/>
  <c r="AC77" i="1"/>
  <c r="AC78" i="1"/>
  <c r="AC72" i="1"/>
  <c r="AC76" i="1"/>
  <c r="AC73" i="1"/>
  <c r="AC75" i="1"/>
  <c r="AC74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mments3.xml><?xml version="1.0" encoding="utf-8"?>
<comments xmlns="http://schemas.openxmlformats.org/spreadsheetml/2006/main">
  <authors>
    <author>Ангиограф Экстренный</author>
  </authors>
  <commentList>
    <comment ref="A3" authorId="0">
      <text>
        <r>
          <rPr>
            <sz val="9"/>
            <color indexed="81"/>
            <rFont val="Tahoma"/>
            <family val="2"/>
            <charset val="204"/>
          </rPr>
          <t xml:space="preserve">Скопировать ячейку:
</t>
        </r>
        <r>
          <rPr>
            <b/>
            <sz val="9"/>
            <color indexed="81"/>
            <rFont val="Tahoma"/>
            <family val="2"/>
            <charset val="204"/>
          </rPr>
          <t>Ctrl+C</t>
        </r>
        <r>
          <rPr>
            <sz val="9"/>
            <color indexed="81"/>
            <rFont val="Tahoma"/>
            <family val="2"/>
            <charset val="204"/>
          </rPr>
          <t xml:space="preserve">
-----------------------------
Вставить в 1С:
</t>
        </r>
        <r>
          <rPr>
            <b/>
            <sz val="9"/>
            <color indexed="81"/>
            <rFont val="Tahoma"/>
            <family val="2"/>
            <charset val="204"/>
          </rPr>
          <t>Ctrl+V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<sst xmlns="http://schemas.openxmlformats.org/spreadsheetml/2006/main" count="896" uniqueCount="543">
  <si>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</si>
  <si>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</si>
  <si>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</si>
  <si>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</si>
  <si>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</si>
  <si>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</si>
  <si>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</si>
  <si>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</si>
  <si>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</si>
  <si>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</si>
  <si>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</si>
  <si>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</si>
  <si>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</si>
  <si>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</si>
  <si>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</si>
  <si>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</si>
  <si>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</si>
  <si>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</si>
  <si>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</si>
  <si>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</si>
  <si>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</si>
  <si>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</si>
  <si>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</si>
  <si>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</si>
  <si>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</si>
  <si>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</si>
  <si>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</si>
  <si>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</si>
  <si>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</si>
  <si>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</si>
  <si>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</si>
  <si>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</si>
  <si>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</si>
  <si>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</si>
  <si>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</si>
  <si>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</si>
  <si>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</si>
  <si>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</si>
  <si>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</si>
  <si>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</si>
  <si>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</si>
  <si>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</si>
  <si>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</si>
  <si>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</si>
  <si>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</si>
  <si>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</si>
  <si>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</si>
  <si>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</si>
  <si>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</si>
  <si>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</si>
  <si>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</si>
  <si>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</si>
  <si>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</si>
  <si>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</si>
  <si>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</si>
  <si>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</si>
  <si>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</si>
  <si>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</si>
  <si>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</si>
  <si>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</si>
  <si>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</si>
  <si>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</si>
  <si>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</si>
  <si>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</si>
  <si>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</si>
  <si>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</si>
  <si>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</si>
  <si>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</si>
  <si>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</si>
  <si>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</si>
  <si>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</si>
  <si>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</si>
  <si>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</si>
  <si>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</si>
  <si>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</si>
  <si>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</si>
  <si>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</si>
  <si>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</si>
  <si>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</si>
  <si>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</si>
  <si>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</si>
  <si>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</si>
  <si>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</si>
  <si>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</si>
  <si>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</si>
  <si>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</si>
  <si>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</si>
  <si>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</si>
  <si>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</si>
  <si>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</si>
  <si>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</si>
  <si>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</si>
  <si>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</si>
  <si>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</si>
  <si>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</si>
  <si>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</si>
  <si>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</si>
  <si>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</si>
  <si>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</si>
  <si>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</si>
  <si>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</si>
  <si>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</si>
  <si>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</si>
  <si>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</si>
  <si>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</si>
  <si>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</si>
  <si>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</si>
  <si>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</si>
  <si>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</si>
  <si>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</si>
  <si>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</si>
  <si>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</si>
  <si>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</si>
  <si>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</si>
  <si>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</si>
  <si>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</si>
  <si>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</si>
  <si>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</si>
  <si>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</si>
  <si>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</si>
  <si>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</si>
  <si>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</si>
  <si>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</si>
  <si>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</si>
  <si>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</si>
  <si>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</si>
  <si>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</si>
  <si>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</si>
  <si>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Тип</t>
  </si>
  <si>
    <t>Размеры</t>
  </si>
  <si>
    <t>ИБС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</si>
  <si>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</si>
  <si>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</si>
  <si>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</si>
  <si>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</si>
  <si>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</si>
  <si>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</si>
  <si>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</si>
  <si>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</si>
  <si>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</si>
  <si>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</si>
  <si>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</si>
  <si>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</si>
  <si>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</si>
  <si>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</si>
  <si>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</si>
  <si>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</si>
  <si>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</si>
  <si>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</si>
  <si>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</si>
  <si>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</si>
  <si>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</si>
  <si>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</si>
  <si>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</si>
  <si>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</si>
  <si>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</si>
  <si>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</si>
  <si>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</si>
  <si>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</si>
  <si>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</si>
  <si>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</si>
  <si>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</si>
  <si>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</si>
  <si>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</si>
  <si>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</si>
  <si>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</si>
  <si>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</si>
  <si>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</si>
  <si>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</si>
  <si>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</si>
  <si>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</si>
  <si>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</si>
  <si>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</si>
  <si>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</si>
  <si>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</si>
  <si>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</si>
  <si>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</si>
  <si>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</si>
  <si>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</si>
  <si>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</si>
  <si>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</si>
  <si>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</si>
  <si>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</si>
  <si>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</si>
  <si>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</si>
  <si>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</si>
  <si>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</si>
  <si>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</si>
  <si>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</si>
  <si>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</si>
  <si>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</si>
  <si>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</si>
  <si>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</si>
  <si>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</si>
  <si>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</si>
  <si>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</si>
  <si>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</si>
  <si>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</si>
  <si>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</si>
  <si>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</si>
  <si>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</si>
  <si>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</si>
  <si>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</si>
  <si>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</si>
  <si>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</si>
  <si>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</si>
  <si>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</si>
  <si>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</si>
  <si>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</si>
  <si>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</si>
  <si>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</si>
  <si>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</si>
  <si>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</si>
  <si>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</si>
  <si>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</si>
  <si>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</si>
  <si>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</si>
  <si>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</si>
  <si>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</si>
  <si>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</si>
  <si>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</si>
  <si>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</si>
  <si>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</si>
  <si>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</si>
  <si>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</si>
  <si>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</si>
  <si>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</si>
  <si>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</si>
  <si>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</si>
  <si>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</si>
  <si>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</si>
  <si>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</si>
  <si>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</si>
  <si>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</si>
  <si>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</si>
  <si>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</si>
  <si>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</si>
  <si>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</si>
  <si>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</si>
  <si>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</si>
  <si>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</si>
  <si>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</si>
  <si>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</si>
  <si>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</si>
  <si>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</si>
  <si>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</si>
  <si>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</si>
  <si>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</si>
  <si>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</si>
  <si>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</si>
  <si>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</si>
  <si>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</si>
  <si>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</si>
  <si>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</si>
  <si>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</si>
  <si>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</si>
  <si>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</si>
  <si>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</si>
  <si>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</si>
  <si>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</si>
  <si>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</si>
  <si>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</si>
  <si>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</si>
  <si>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</si>
  <si>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</si>
  <si>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</si>
  <si>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</si>
  <si>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</si>
  <si>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</si>
  <si>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</si>
  <si>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</si>
  <si>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</si>
  <si>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</si>
  <si>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Белугина Н.М.</t>
  </si>
  <si>
    <t>Синицина И.А.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</si>
  <si>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</si>
  <si>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</si>
  <si>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</si>
  <si>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</si>
  <si>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</si>
  <si>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</si>
  <si>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</si>
  <si>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</si>
  <si>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</si>
  <si>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</si>
  <si>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</si>
  <si>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</si>
  <si>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</si>
  <si>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</si>
  <si>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</si>
  <si>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</si>
  <si>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</si>
  <si>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</si>
  <si>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</si>
  <si>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</si>
  <si>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</si>
  <si>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</si>
  <si>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</si>
  <si>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</si>
  <si>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</si>
  <si>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</si>
  <si>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М/С-анестезист</t>
  </si>
  <si>
    <t>Бородкина С.А.</t>
  </si>
  <si>
    <t>ВМП 1</t>
  </si>
  <si>
    <t>Индефлятор</t>
  </si>
  <si>
    <t>NC Euphora</t>
  </si>
  <si>
    <t>Диагностический проводник</t>
  </si>
  <si>
    <t>DES</t>
  </si>
  <si>
    <t>Hunter® 6F</t>
  </si>
  <si>
    <t>ОКС БПST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</si>
  <si>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</si>
  <si>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</si>
  <si>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</si>
  <si>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</si>
  <si>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</si>
  <si>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</si>
  <si>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</si>
  <si>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</si>
  <si>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</si>
  <si>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</si>
  <si>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</si>
  <si>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</si>
  <si>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</si>
  <si>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</si>
  <si>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</si>
  <si>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</si>
  <si>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</si>
  <si>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</si>
  <si>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</si>
  <si>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</si>
  <si>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</si>
  <si>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</si>
  <si>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</si>
  <si>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</si>
  <si>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</si>
  <si>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</si>
  <si>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</si>
  <si>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Launcher 7F JL 4.0</t>
  </si>
  <si>
    <t>Launcher 7F JL 3.5</t>
  </si>
  <si>
    <t>Анохин В.С.</t>
  </si>
  <si>
    <t>Cougar XT Hydro-Track®</t>
  </si>
  <si>
    <t>Telescope ™ II 6F</t>
  </si>
  <si>
    <t>DES, NanoMed</t>
  </si>
  <si>
    <t>DES, Calipso</t>
  </si>
  <si>
    <t>Проводник коронарный  1g, Angioline</t>
  </si>
  <si>
    <t>Повтор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</si>
  <si>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</si>
  <si>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</si>
  <si>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</si>
  <si>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</si>
  <si>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</si>
  <si>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</si>
  <si>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</si>
  <si>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</si>
  <si>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</si>
  <si>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DES, Yukon Chrome PC</t>
  </si>
  <si>
    <t>SubMarine Rapido, Invatec</t>
  </si>
  <si>
    <t>Runthrough NS Intermediate</t>
  </si>
  <si>
    <t>Runthrough NS Hypercoat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</si>
  <si>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</si>
  <si>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</si>
  <si>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</si>
  <si>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</si>
  <si>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</si>
  <si>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</si>
  <si>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Perouse Medical FLAMINGO</t>
  </si>
  <si>
    <t>Фисура О.И.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</si>
  <si>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</si>
  <si>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</si>
  <si>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</si>
  <si>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</si>
  <si>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</si>
  <si>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</si>
  <si>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</si>
  <si>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>Sion Black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</si>
  <si>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</si>
  <si>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</si>
  <si>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</si>
  <si>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</si>
  <si>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</si>
  <si>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</si>
  <si>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</si>
  <si>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</si>
  <si>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Продолжительность:</t>
  </si>
  <si>
    <t>мЗв/mSv</t>
  </si>
  <si>
    <t>Описание оперативного вмешательства</t>
  </si>
  <si>
    <t>м/а</t>
  </si>
  <si>
    <t>Вид анест.пособия:</t>
  </si>
  <si>
    <t>Осложнения:</t>
  </si>
  <si>
    <t>Кровопотеря:</t>
  </si>
  <si>
    <t>НЕТ</t>
  </si>
  <si>
    <t>Имплантированные медицинские изделия:</t>
  </si>
  <si>
    <t>СТЕНТ/Ы</t>
  </si>
  <si>
    <t>________</t>
  </si>
  <si>
    <t xml:space="preserve">NC Колибри </t>
  </si>
  <si>
    <t>Total Time</t>
  </si>
  <si>
    <t xml:space="preserve">Транслюминальная баллонная ангиопластика коронарных артерий. </t>
  </si>
  <si>
    <t>Total DAP,  µGy∙m²</t>
  </si>
  <si>
    <t>1,5 - 12</t>
  </si>
  <si>
    <t>1,5 - 15</t>
  </si>
  <si>
    <t>1,5 - 20</t>
  </si>
  <si>
    <t>2,0 - 12</t>
  </si>
  <si>
    <t>2,0 - 15</t>
  </si>
  <si>
    <t>2,25 - 15</t>
  </si>
  <si>
    <t>2,25 - 20</t>
  </si>
  <si>
    <t>2,5 - 12</t>
  </si>
  <si>
    <t>2,5 - 15</t>
  </si>
  <si>
    <t>2,75 - 15</t>
  </si>
  <si>
    <t>3,0 - 6</t>
  </si>
  <si>
    <t>3,0 - 8</t>
  </si>
  <si>
    <t>3,0 - 12</t>
  </si>
  <si>
    <t>3,0 - 15</t>
  </si>
  <si>
    <t>3,5 - 6</t>
  </si>
  <si>
    <t>3,5 - 8</t>
  </si>
  <si>
    <t>3,5 - 12</t>
  </si>
  <si>
    <t>3,5 - 15</t>
  </si>
  <si>
    <t>3,75 - 8</t>
  </si>
  <si>
    <t>3,75 - 15</t>
  </si>
  <si>
    <t>4,0 - 6</t>
  </si>
  <si>
    <t>4,0 - 8</t>
  </si>
  <si>
    <t>4,0 - 10</t>
  </si>
  <si>
    <t>4,0 - 12</t>
  </si>
  <si>
    <t>4,0 - 15</t>
  </si>
  <si>
    <t>4,5 - 6</t>
  </si>
  <si>
    <t>4,5 - 8</t>
  </si>
  <si>
    <t>4,5 - 12</t>
  </si>
  <si>
    <t>4,5 - 15</t>
  </si>
  <si>
    <t>5,0 - 6</t>
  </si>
  <si>
    <t>5,0 - 8</t>
  </si>
  <si>
    <t>5,0 - 20</t>
  </si>
  <si>
    <t>2,25 - 18</t>
  </si>
  <si>
    <t>2,25 - 21</t>
  </si>
  <si>
    <t>2,25 - 22</t>
  </si>
  <si>
    <t>2,25 - 28</t>
  </si>
  <si>
    <t>2,5 - 18</t>
  </si>
  <si>
    <t>2,5 - 21</t>
  </si>
  <si>
    <t>2,5 - 22</t>
  </si>
  <si>
    <t>2,5 - 24</t>
  </si>
  <si>
    <t>2,5 - 26</t>
  </si>
  <si>
    <t>2,5 - 28</t>
  </si>
  <si>
    <t>2,5 - 30</t>
  </si>
  <si>
    <t>2,5 - 32</t>
  </si>
  <si>
    <t>2,5 - 34</t>
  </si>
  <si>
    <t>2,5 - 38</t>
  </si>
  <si>
    <t>2,75 - 18</t>
  </si>
  <si>
    <t>2,75 - 22</t>
  </si>
  <si>
    <t>2,75 - 24</t>
  </si>
  <si>
    <t>2,75 - 26</t>
  </si>
  <si>
    <t>2,75 - 28</t>
  </si>
  <si>
    <t>2,75 - 30</t>
  </si>
  <si>
    <t>2,75 - 32</t>
  </si>
  <si>
    <t>3,0 - 18</t>
  </si>
  <si>
    <t>3,0 - 22</t>
  </si>
  <si>
    <t>3,0 - 26</t>
  </si>
  <si>
    <t>3,0 - 28</t>
  </si>
  <si>
    <t>3,0 - 30</t>
  </si>
  <si>
    <t>3,0 - 32</t>
  </si>
  <si>
    <t>3,0 - 34</t>
  </si>
  <si>
    <t>3,0 - 38</t>
  </si>
  <si>
    <t>3,5 - 9</t>
  </si>
  <si>
    <t>3,5 - 14</t>
  </si>
  <si>
    <t>3,5 - 18</t>
  </si>
  <si>
    <t>3,5 - 22</t>
  </si>
  <si>
    <t>3,5 - 24</t>
  </si>
  <si>
    <t>3,5 - 26</t>
  </si>
  <si>
    <t>3,5 - 28</t>
  </si>
  <si>
    <t>3,5 - 30</t>
  </si>
  <si>
    <t>3,5 - 32</t>
  </si>
  <si>
    <t>3,5 - 34</t>
  </si>
  <si>
    <t>3,5 - 38</t>
  </si>
  <si>
    <t>4,0 - 9</t>
  </si>
  <si>
    <t>4,0 - 18</t>
  </si>
  <si>
    <t>4,0 - 22</t>
  </si>
  <si>
    <t>4,0 - 26</t>
  </si>
  <si>
    <t>4,0 - 28</t>
  </si>
  <si>
    <t>4,0 - 30</t>
  </si>
  <si>
    <t>4,0 - 34</t>
  </si>
  <si>
    <t>4,0 - 38</t>
  </si>
  <si>
    <t>4,5 - 9</t>
  </si>
  <si>
    <t>4,5 - 18</t>
  </si>
  <si>
    <t>4,5 - 22</t>
  </si>
  <si>
    <t>ОКС с ↑ ST</t>
  </si>
  <si>
    <t>Код модели</t>
  </si>
  <si>
    <t>Код метода</t>
  </si>
  <si>
    <t>Другое</t>
  </si>
  <si>
    <t>BMS</t>
  </si>
  <si>
    <t>4,5 - 10</t>
  </si>
  <si>
    <t>5,0 - 10</t>
  </si>
  <si>
    <t>3,0 - 10</t>
  </si>
  <si>
    <t>2,0 - 18</t>
  </si>
  <si>
    <t>АБР</t>
  </si>
  <si>
    <t>Стент для коронарных артерий, выделяющий лекарственное средство, с рассасывающимся полимерным покрытием</t>
  </si>
  <si>
    <t>Стент для коронарных артерий, выделяющий лекарственное средство, с нерассасывающимся полимерным покрытием</t>
  </si>
  <si>
    <t>Стент для коронарных артерий металлический непокрытый полимерным покрытием</t>
  </si>
  <si>
    <t>Катетер баллонный для коронарной ангиопластики, стандартный</t>
  </si>
  <si>
    <t>Катетер баллонный для коронарной ангиопластики, выделяющий лекарственное средство</t>
  </si>
  <si>
    <t>Код НК МИ</t>
  </si>
  <si>
    <t>Стент для коронарных артерий выделяющий лекарственное средство, полностью рассасывающийся</t>
  </si>
  <si>
    <t>DEB</t>
  </si>
  <si>
    <t>План оперативного вмешательства:</t>
  </si>
  <si>
    <t>Прудникова Ю.А.</t>
  </si>
  <si>
    <t>Demax</t>
  </si>
  <si>
    <t>Соболева Ю.А.</t>
  </si>
  <si>
    <t>"МИМ". Тюмень</t>
  </si>
  <si>
    <t xml:space="preserve">Balancium </t>
  </si>
  <si>
    <t>Поток CTЗ по ТУ</t>
  </si>
  <si>
    <t>Проводник коронарный  0,8g, Angioline</t>
  </si>
  <si>
    <t>Asahi Gaia First</t>
  </si>
  <si>
    <t>Asahi Gaia Second</t>
  </si>
  <si>
    <t>Asahi Gaia Third</t>
  </si>
  <si>
    <t>NC АКСИОМА</t>
  </si>
  <si>
    <t>Н.Б. Шишкина</t>
  </si>
  <si>
    <t>Старшая мед.сетра: Н.Б. Шишкина</t>
  </si>
  <si>
    <t>DES, Калипсо</t>
  </si>
  <si>
    <t>Meril Evermine50™</t>
  </si>
  <si>
    <t>Shunmei</t>
  </si>
  <si>
    <t>Abbot Whisper MS</t>
  </si>
  <si>
    <t>Abbot Whisper LS</t>
  </si>
  <si>
    <t>20 ml</t>
  </si>
  <si>
    <t>Pilot 150, 190 cm</t>
  </si>
  <si>
    <t>Pilot 150, 300 cm</t>
  </si>
  <si>
    <t>Медведева А.Ю.</t>
  </si>
  <si>
    <t>Вольхин М.В.</t>
  </si>
  <si>
    <t>Оставлен</t>
  </si>
  <si>
    <t>Извлечён</t>
  </si>
  <si>
    <t>лучевой</t>
  </si>
  <si>
    <t xml:space="preserve">Контроль места пункции, повязка на 6 ч. </t>
  </si>
  <si>
    <t>DES, Metafor</t>
  </si>
  <si>
    <t>Artimes</t>
  </si>
  <si>
    <t>NC Apollo</t>
  </si>
  <si>
    <t>50 ml</t>
  </si>
  <si>
    <t>150 ml</t>
  </si>
  <si>
    <t>М.А. Дибиров</t>
  </si>
  <si>
    <t>И/О заведующего отделения: М.А. Дибиров</t>
  </si>
  <si>
    <t>Правый</t>
  </si>
  <si>
    <t>без стенозов</t>
  </si>
  <si>
    <t xml:space="preserve">Совместно с д/кардиологом: с учетом клинических данных, ЭКГ и КАГ рекомендовано ЧКВ ПНА. </t>
  </si>
  <si>
    <t xml:space="preserve">Устье ствола ЛКА катетеризировано проводниковым катетером Launcher EBU 3,5 6Fr. Коронарный проводник Shunmei заведен в дистальный сегмент ПНА. Предилатация зоны стеноза БК Artimes 2,5-15 мм давленим 12 атм. В зону остаточного стеноза под устье позиционирован и имплантирован DES Resolute Integrity 3,5-15 мм давлением до 14 атм. На контрольных съемках стент раскрыт удовлетворительно, признаков краевых диссекций, тромбоза, экстравазации контрастного вещества не выявлено, кровоток по ПНА -  TIMI III. Ангиографический результат удовлетворительный. Пациентка в стабильном состоянии транспортируется в ПРИТ для дальнейшего наблюдения и лечения. </t>
  </si>
  <si>
    <t>9:00</t>
  </si>
  <si>
    <t>Пеньковая К.Н.</t>
  </si>
  <si>
    <t>стеноз проксимального сегмента до 50%, неровность контуров ВТК, кровоток TIMI III</t>
  </si>
  <si>
    <t>пролонгированный стеноз среднего сегмента менее 50%, кровоток TIMI III</t>
  </si>
  <si>
    <t>субтотальный стеноз проксимального сегмента, рестеноз стента проксимального сегмента 30%, стеноз среднего сегмента 70%, кровоток TIMI 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</si>
</sst>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_-;\-* #,##0_-;_-* &quot;-&quot;_-;_-@_-"/>
    <numFmt numFmtId="165" formatCode="[$-F800]dddd\,\ mmmm\ dd\,\ yyyy"/>
    <numFmt numFmtId="166" formatCode="h:mm;@"/>
    <numFmt numFmtId="167" formatCode=";;;"/>
  </numFmts>
  <fonts count="7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u/>
      <sz val="10"/>
      <color theme="1"/>
      <name val="Calibri"/>
      <family val="2"/>
      <charset val="204"/>
      <scheme val="minor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sz val="11"/>
      <color theme="1"/>
      <name val="Arial Narrow"/>
      <family val="2"/>
      <charset val="204"/>
    </font>
    <font>
      <b/>
      <sz val="10"/>
      <color rgb="FF20212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u/>
      <sz val="11"/>
      <color theme="1"/>
      <name val="Times New Roman"/>
      <family val="1"/>
      <charset val="204"/>
    </font>
    <font>
      <sz val="10.5"/>
      <color theme="1"/>
      <name val="Calibri"/>
      <family val="2"/>
      <charset val="204"/>
      <scheme val="minor"/>
    </font>
    <font>
      <sz val="11"/>
      <color theme="1"/>
      <name val="Aharoni"/>
      <charset val="177"/>
    </font>
  </fonts>
  <fills count="1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0" tint="-0.14999847407452621"/>
        <bgColor indexed="64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10" fillId="3" borderId="0" applyNumberFormat="0" applyBorder="0" applyAlignment="0" applyProtection="0"/>
    <xf numFmtId="164" fontId="10" fillId="3" borderId="0" applyNumberFormat="0" applyFill="0" applyAlignment="0"/>
    <xf numFmtId="0" fontId="14" fillId="0" borderId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8" fillId="8" borderId="0" applyNumberFormat="0" applyBorder="0" applyAlignment="0" applyProtection="0"/>
    <xf numFmtId="0" fontId="48" fillId="9" borderId="21" applyNumberFormat="0" applyAlignment="0" applyProtection="0"/>
  </cellStyleXfs>
  <cellXfs count="255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13" fillId="2" borderId="2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3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fill" vertical="center"/>
    </xf>
    <xf numFmtId="0" fontId="0" fillId="0" borderId="0" xfId="0" applyAlignment="1">
      <alignment vertical="center"/>
    </xf>
    <xf numFmtId="0" fontId="0" fillId="0" borderId="2" xfId="0" applyBorder="1"/>
    <xf numFmtId="0" fontId="23" fillId="7" borderId="6" xfId="5" applyFont="1" applyBorder="1" applyAlignment="1">
      <alignment vertical="center"/>
    </xf>
    <xf numFmtId="0" fontId="29" fillId="0" borderId="6" xfId="0" applyFont="1" applyBorder="1" applyAlignment="1">
      <alignment vertical="center"/>
    </xf>
    <xf numFmtId="0" fontId="23" fillId="7" borderId="10" xfId="5" applyFont="1" applyBorder="1" applyAlignment="1">
      <alignment horizontal="centerContinuous" vertical="center"/>
    </xf>
    <xf numFmtId="0" fontId="9" fillId="7" borderId="5" xfId="5" applyBorder="1" applyAlignment="1">
      <alignment horizontal="centerContinuous" vertical="center"/>
    </xf>
    <xf numFmtId="0" fontId="9" fillId="7" borderId="11" xfId="5" applyBorder="1" applyAlignment="1">
      <alignment horizontal="centerContinuous" vertical="center"/>
    </xf>
    <xf numFmtId="0" fontId="16" fillId="0" borderId="7" xfId="0" applyFont="1" applyBorder="1" applyAlignment="1" applyProtection="1">
      <alignment horizontal="left" vertical="center"/>
      <protection locked="0"/>
    </xf>
    <xf numFmtId="14" fontId="32" fillId="6" borderId="7" xfId="4" applyNumberFormat="1" applyFont="1" applyBorder="1" applyAlignment="1" applyProtection="1">
      <alignment horizontal="left" vertical="center"/>
      <protection locked="0"/>
    </xf>
    <xf numFmtId="0" fontId="12" fillId="7" borderId="8" xfId="5" applyFont="1" applyBorder="1" applyAlignment="1">
      <alignment horizontal="left" vertical="center"/>
    </xf>
    <xf numFmtId="166" fontId="12" fillId="6" borderId="9" xfId="4" applyNumberFormat="1" applyFont="1" applyBorder="1" applyAlignment="1" applyProtection="1">
      <alignment horizontal="left" vertical="center"/>
      <protection locked="0"/>
    </xf>
    <xf numFmtId="0" fontId="16" fillId="0" borderId="3" xfId="0" applyFont="1" applyBorder="1" applyAlignment="1" applyProtection="1">
      <alignment vertical="center"/>
      <protection locked="0"/>
    </xf>
    <xf numFmtId="0" fontId="16" fillId="0" borderId="4" xfId="0" applyFont="1" applyBorder="1" applyAlignment="1" applyProtection="1">
      <alignment vertical="center"/>
      <protection locked="0"/>
    </xf>
    <xf numFmtId="0" fontId="16" fillId="0" borderId="9" xfId="0" applyFont="1" applyBorder="1" applyAlignment="1" applyProtection="1">
      <alignment vertical="center"/>
      <protection locked="0"/>
    </xf>
    <xf numFmtId="0" fontId="16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3" fillId="0" borderId="0" xfId="0" applyFont="1" applyAlignment="1">
      <alignment vertical="top" wrapText="1"/>
    </xf>
    <xf numFmtId="0" fontId="23" fillId="7" borderId="5" xfId="5" applyFont="1" applyBorder="1" applyAlignment="1">
      <alignment horizontal="centerContinuous" vertical="center"/>
    </xf>
    <xf numFmtId="0" fontId="30" fillId="0" borderId="7" xfId="0" applyFont="1" applyBorder="1" applyAlignment="1">
      <alignment horizontal="left" vertical="center"/>
    </xf>
    <xf numFmtId="0" fontId="0" fillId="0" borderId="3" xfId="0" applyBorder="1"/>
    <xf numFmtId="0" fontId="33" fillId="0" borderId="12" xfId="0" applyFont="1" applyBorder="1" applyAlignment="1">
      <alignment vertical="top" wrapText="1"/>
    </xf>
    <xf numFmtId="0" fontId="33" fillId="0" borderId="8" xfId="0" applyFont="1" applyBorder="1" applyAlignment="1">
      <alignment vertical="top" wrapText="1"/>
    </xf>
    <xf numFmtId="0" fontId="33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4" fillId="0" borderId="0" xfId="0" applyFont="1" applyAlignment="1" applyProtection="1">
      <alignment vertical="center"/>
      <protection locked="0"/>
    </xf>
    <xf numFmtId="0" fontId="16" fillId="0" borderId="0" xfId="0" applyFont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1" fillId="0" borderId="0" xfId="0" applyFont="1" applyAlignment="1">
      <alignment horizontal="centerContinuous" vertical="center" wrapText="1"/>
    </xf>
    <xf numFmtId="0" fontId="28" fillId="0" borderId="10" xfId="0" applyFont="1" applyBorder="1" applyAlignment="1">
      <alignment horizontal="centerContinuous" vertical="top" wrapText="1"/>
    </xf>
    <xf numFmtId="0" fontId="23" fillId="0" borderId="5" xfId="0" applyFont="1" applyBorder="1" applyAlignment="1">
      <alignment horizontal="centerContinuous" vertical="distributed" wrapText="1"/>
    </xf>
    <xf numFmtId="0" fontId="23" fillId="0" borderId="11" xfId="0" applyFont="1" applyBorder="1" applyAlignment="1">
      <alignment horizontal="centerContinuous" vertical="distributed" wrapText="1"/>
    </xf>
    <xf numFmtId="0" fontId="23" fillId="0" borderId="12" xfId="0" applyFont="1" applyBorder="1" applyAlignment="1">
      <alignment horizontal="centerContinuous" vertical="distributed" wrapText="1"/>
    </xf>
    <xf numFmtId="0" fontId="23" fillId="0" borderId="0" xfId="0" applyFont="1" applyAlignment="1">
      <alignment horizontal="centerContinuous" vertical="distributed" wrapText="1"/>
    </xf>
    <xf numFmtId="0" fontId="23" fillId="0" borderId="13" xfId="0" applyFont="1" applyBorder="1" applyAlignment="1">
      <alignment horizontal="centerContinuous" vertical="distributed" wrapText="1"/>
    </xf>
    <xf numFmtId="0" fontId="26" fillId="0" borderId="12" xfId="0" applyFont="1" applyBorder="1" applyAlignment="1">
      <alignment horizontal="centerContinuous" vertical="distributed" wrapText="1"/>
    </xf>
    <xf numFmtId="0" fontId="27" fillId="0" borderId="0" xfId="0" applyFont="1" applyAlignment="1">
      <alignment horizontal="centerContinuous" vertical="distributed" wrapText="1"/>
    </xf>
    <xf numFmtId="0" fontId="27" fillId="0" borderId="13" xfId="0" applyFont="1" applyBorder="1" applyAlignment="1">
      <alignment horizontal="centerContinuous" vertical="distributed" wrapText="1"/>
    </xf>
    <xf numFmtId="0" fontId="38" fillId="0" borderId="12" xfId="0" applyFont="1" applyBorder="1" applyAlignment="1">
      <alignment vertical="center"/>
    </xf>
    <xf numFmtId="0" fontId="0" fillId="0" borderId="0" xfId="0" applyAlignment="1">
      <alignment vertical="distributed"/>
    </xf>
    <xf numFmtId="20" fontId="0" fillId="0" borderId="0" xfId="0" applyNumberFormat="1" applyAlignment="1">
      <alignment horizontal="left"/>
    </xf>
    <xf numFmtId="20" fontId="0" fillId="0" borderId="0" xfId="0" applyNumberFormat="1" applyAlignment="1">
      <alignment horizontal="left" vertical="center"/>
    </xf>
    <xf numFmtId="0" fontId="16" fillId="0" borderId="13" xfId="0" applyFont="1" applyBorder="1" applyAlignment="1" applyProtection="1">
      <alignment vertical="center"/>
      <protection locked="0"/>
    </xf>
    <xf numFmtId="0" fontId="39" fillId="0" borderId="12" xfId="0" applyFont="1" applyBorder="1" applyAlignment="1">
      <alignment horizontal="left" vertical="center"/>
    </xf>
    <xf numFmtId="0" fontId="31" fillId="0" borderId="8" xfId="0" applyFont="1" applyBorder="1" applyAlignment="1">
      <alignment vertical="top" wrapText="1"/>
    </xf>
    <xf numFmtId="0" fontId="39" fillId="0" borderId="10" xfId="0" applyFont="1" applyBorder="1" applyAlignment="1">
      <alignment horizontal="left" vertical="top" wrapText="1"/>
    </xf>
    <xf numFmtId="0" fontId="31" fillId="0" borderId="12" xfId="0" applyFont="1" applyBorder="1" applyAlignment="1">
      <alignment vertical="top" wrapText="1"/>
    </xf>
    <xf numFmtId="0" fontId="41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14" xfId="0" applyBorder="1"/>
    <xf numFmtId="0" fontId="35" fillId="0" borderId="12" xfId="0" applyFont="1" applyBorder="1"/>
    <xf numFmtId="0" fontId="0" fillId="0" borderId="0" xfId="0" applyProtection="1">
      <protection locked="0"/>
    </xf>
    <xf numFmtId="165" fontId="16" fillId="0" borderId="7" xfId="0" applyNumberFormat="1" applyFont="1" applyBorder="1" applyAlignment="1">
      <alignment horizontal="left" vertical="center"/>
    </xf>
    <xf numFmtId="0" fontId="16" fillId="0" borderId="7" xfId="0" applyFont="1" applyBorder="1" applyAlignment="1">
      <alignment horizontal="left" vertical="center"/>
    </xf>
    <xf numFmtId="0" fontId="28" fillId="0" borderId="0" xfId="0" applyFont="1" applyAlignment="1">
      <alignment horizontal="centerContinuous" vertical="top" wrapText="1"/>
    </xf>
    <xf numFmtId="0" fontId="16" fillId="0" borderId="0" xfId="0" applyFont="1" applyAlignment="1" applyProtection="1">
      <alignment vertical="top" wrapText="1"/>
      <protection locked="0"/>
    </xf>
    <xf numFmtId="0" fontId="16" fillId="0" borderId="0" xfId="0" applyFont="1" applyAlignment="1" applyProtection="1">
      <alignment horizontal="centerContinuous" vertical="top" wrapText="1"/>
      <protection locked="0"/>
    </xf>
    <xf numFmtId="0" fontId="33" fillId="0" borderId="0" xfId="0" applyFont="1" applyAlignment="1">
      <alignment vertical="top"/>
    </xf>
    <xf numFmtId="0" fontId="33" fillId="0" borderId="13" xfId="0" applyFont="1" applyBorder="1" applyAlignment="1">
      <alignment vertical="top"/>
    </xf>
    <xf numFmtId="0" fontId="23" fillId="0" borderId="0" xfId="0" applyFont="1"/>
    <xf numFmtId="0" fontId="23" fillId="7" borderId="6" xfId="5" applyFont="1" applyBorder="1" applyAlignment="1" applyProtection="1">
      <alignment vertical="center"/>
    </xf>
    <xf numFmtId="0" fontId="12" fillId="7" borderId="8" xfId="5" applyFont="1" applyBorder="1" applyAlignment="1" applyProtection="1">
      <alignment horizontal="left" vertical="center"/>
    </xf>
    <xf numFmtId="0" fontId="36" fillId="0" borderId="0" xfId="0" applyFont="1" applyAlignment="1" applyProtection="1">
      <alignment horizontal="left"/>
      <protection locked="0"/>
    </xf>
    <xf numFmtId="0" fontId="45" fillId="0" borderId="0" xfId="0" applyFont="1" applyAlignment="1">
      <alignment horizontal="left" vertical="center"/>
    </xf>
    <xf numFmtId="0" fontId="16" fillId="0" borderId="3" xfId="0" applyFont="1" applyBorder="1" applyAlignment="1">
      <alignment vertical="center"/>
    </xf>
    <xf numFmtId="0" fontId="16" fillId="0" borderId="4" xfId="0" applyFont="1" applyBorder="1" applyAlignment="1">
      <alignment vertical="center"/>
    </xf>
    <xf numFmtId="0" fontId="29" fillId="0" borderId="8" xfId="0" applyFont="1" applyBorder="1" applyAlignment="1">
      <alignment vertical="center"/>
    </xf>
    <xf numFmtId="165" fontId="16" fillId="0" borderId="9" xfId="0" applyNumberFormat="1" applyFont="1" applyBorder="1" applyAlignment="1" applyProtection="1">
      <alignment horizontal="left" vertical="center"/>
      <protection locked="0"/>
    </xf>
    <xf numFmtId="0" fontId="12" fillId="7" borderId="15" xfId="5" applyFont="1" applyBorder="1" applyAlignment="1">
      <alignment horizontal="left" vertical="center"/>
    </xf>
    <xf numFmtId="166" fontId="12" fillId="6" borderId="16" xfId="4" applyNumberFormat="1" applyFont="1" applyBorder="1" applyAlignment="1" applyProtection="1">
      <alignment horizontal="left" vertical="center"/>
      <protection locked="0"/>
    </xf>
    <xf numFmtId="0" fontId="39" fillId="0" borderId="0" xfId="0" applyFont="1" applyAlignment="1">
      <alignment horizontal="left" vertical="center"/>
    </xf>
    <xf numFmtId="0" fontId="36" fillId="0" borderId="13" xfId="0" applyFont="1" applyBorder="1" applyAlignment="1" applyProtection="1">
      <alignment horizontal="left"/>
      <protection locked="0"/>
    </xf>
    <xf numFmtId="0" fontId="36" fillId="0" borderId="0" xfId="0" applyFont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6" fillId="8" borderId="17" xfId="6" applyFont="1" applyBorder="1" applyAlignment="1">
      <alignment horizontal="left" vertical="center"/>
    </xf>
    <xf numFmtId="0" fontId="16" fillId="0" borderId="9" xfId="0" applyFont="1" applyBorder="1" applyAlignment="1">
      <alignment vertical="center"/>
    </xf>
    <xf numFmtId="0" fontId="16" fillId="0" borderId="7" xfId="0" applyFont="1" applyBorder="1" applyAlignment="1">
      <alignment vertical="center"/>
    </xf>
    <xf numFmtId="0" fontId="29" fillId="0" borderId="3" xfId="0" applyFont="1" applyBorder="1" applyAlignment="1" applyProtection="1">
      <alignment vertical="center"/>
      <protection locked="0"/>
    </xf>
    <xf numFmtId="0" fontId="29" fillId="0" borderId="4" xfId="0" applyFont="1" applyBorder="1" applyAlignment="1" applyProtection="1">
      <alignment vertical="center"/>
      <protection locked="0"/>
    </xf>
    <xf numFmtId="0" fontId="29" fillId="0" borderId="8" xfId="0" applyFont="1" applyBorder="1" applyAlignment="1" applyProtection="1">
      <alignment vertical="center"/>
      <protection locked="0"/>
    </xf>
    <xf numFmtId="0" fontId="29" fillId="0" borderId="6" xfId="0" applyFont="1" applyBorder="1" applyAlignment="1" applyProtection="1">
      <alignment vertical="center"/>
      <protection locked="0"/>
    </xf>
    <xf numFmtId="0" fontId="18" fillId="0" borderId="10" xfId="0" applyFont="1" applyBorder="1" applyAlignment="1">
      <alignment horizontal="right"/>
    </xf>
    <xf numFmtId="165" fontId="18" fillId="0" borderId="5" xfId="0" applyNumberFormat="1" applyFont="1" applyBorder="1" applyAlignment="1">
      <alignment horizontal="center"/>
    </xf>
    <xf numFmtId="0" fontId="20" fillId="0" borderId="11" xfId="0" applyFont="1" applyBorder="1" applyAlignment="1">
      <alignment horizontal="right" vertical="top"/>
    </xf>
    <xf numFmtId="0" fontId="19" fillId="0" borderId="12" xfId="0" applyFont="1" applyBorder="1" applyAlignment="1">
      <alignment horizontal="centerContinuous" vertical="top"/>
    </xf>
    <xf numFmtId="0" fontId="17" fillId="0" borderId="0" xfId="0" applyFont="1" applyAlignment="1">
      <alignment horizontal="centerContinuous"/>
    </xf>
    <xf numFmtId="0" fontId="50" fillId="9" borderId="21" xfId="7" applyFont="1" applyAlignment="1">
      <alignment horizontal="left" vertical="center"/>
    </xf>
    <xf numFmtId="14" fontId="49" fillId="9" borderId="22" xfId="7" applyNumberFormat="1" applyFont="1" applyBorder="1" applyAlignment="1" applyProtection="1">
      <alignment horizontal="right" vertical="center"/>
    </xf>
    <xf numFmtId="0" fontId="49" fillId="9" borderId="22" xfId="7" applyFont="1" applyBorder="1" applyAlignment="1" applyProtection="1">
      <alignment horizontal="right" vertical="center"/>
    </xf>
    <xf numFmtId="0" fontId="17" fillId="0" borderId="0" xfId="0" applyFont="1" applyAlignment="1">
      <alignment horizontal="center"/>
    </xf>
    <xf numFmtId="0" fontId="50" fillId="9" borderId="21" xfId="7" applyFont="1" applyAlignment="1" applyProtection="1">
      <alignment horizontal="left" vertical="center"/>
    </xf>
    <xf numFmtId="0" fontId="24" fillId="0" borderId="12" xfId="0" applyFont="1" applyBorder="1" applyAlignment="1">
      <alignment horizontal="justify" vertical="center" wrapText="1"/>
    </xf>
    <xf numFmtId="0" fontId="25" fillId="0" borderId="13" xfId="0" applyFont="1" applyBorder="1" applyAlignment="1" applyProtection="1">
      <alignment horizontal="center" vertical="center"/>
      <protection locked="0"/>
    </xf>
    <xf numFmtId="0" fontId="25" fillId="0" borderId="0" xfId="0" applyFont="1" applyAlignment="1" applyProtection="1">
      <alignment horizontal="justify" vertical="center" wrapText="1"/>
      <protection locked="0"/>
    </xf>
    <xf numFmtId="0" fontId="25" fillId="0" borderId="0" xfId="0" applyFont="1" applyAlignment="1" applyProtection="1">
      <alignment vertical="center"/>
      <protection locked="0"/>
    </xf>
    <xf numFmtId="0" fontId="23" fillId="0" borderId="0" xfId="0" applyFont="1" applyAlignment="1" applyProtection="1">
      <alignment horizontal="left" vertical="top" wrapText="1"/>
      <protection locked="0"/>
    </xf>
    <xf numFmtId="0" fontId="23" fillId="0" borderId="0" xfId="0" applyFont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2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23" fillId="0" borderId="0" xfId="0" applyFont="1" applyAlignment="1">
      <alignment horizontal="left" vertical="center" wrapText="1"/>
    </xf>
    <xf numFmtId="20" fontId="17" fillId="0" borderId="0" xfId="0" applyNumberFormat="1" applyFont="1" applyAlignment="1" applyProtection="1">
      <alignment vertical="center"/>
      <protection locked="0"/>
    </xf>
    <xf numFmtId="0" fontId="0" fillId="0" borderId="0" xfId="0" applyAlignment="1">
      <alignment vertical="top" wrapText="1"/>
    </xf>
    <xf numFmtId="0" fontId="42" fillId="0" borderId="0" xfId="0" applyFont="1" applyAlignment="1" applyProtection="1">
      <alignment vertical="top" wrapText="1"/>
      <protection locked="0"/>
    </xf>
    <xf numFmtId="0" fontId="54" fillId="0" borderId="0" xfId="0" applyFont="1" applyAlignment="1">
      <alignment vertical="top"/>
    </xf>
    <xf numFmtId="0" fontId="55" fillId="0" borderId="0" xfId="0" applyFont="1" applyAlignment="1">
      <alignment vertical="top"/>
    </xf>
    <xf numFmtId="0" fontId="0" fillId="0" borderId="13" xfId="0" applyBorder="1" applyAlignment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39" fillId="0" borderId="0" xfId="0" applyFont="1" applyAlignment="1">
      <alignment horizontal="centerContinuous" vertical="center"/>
    </xf>
    <xf numFmtId="0" fontId="51" fillId="0" borderId="0" xfId="0" applyFont="1" applyAlignment="1" applyProtection="1">
      <alignment vertical="top" wrapText="1"/>
      <protection locked="0"/>
    </xf>
    <xf numFmtId="0" fontId="55" fillId="0" borderId="0" xfId="0" applyFont="1" applyAlignment="1">
      <alignment horizontal="centerContinuous" vertical="center" wrapText="1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7" fillId="0" borderId="0" xfId="0" applyFont="1"/>
    <xf numFmtId="0" fontId="50" fillId="9" borderId="23" xfId="7" applyFont="1" applyBorder="1" applyAlignment="1">
      <alignment horizontal="left" vertical="center"/>
    </xf>
    <xf numFmtId="0" fontId="48" fillId="9" borderId="12" xfId="7" applyBorder="1" applyAlignment="1" applyProtection="1">
      <alignment horizontal="left" vertical="center"/>
    </xf>
    <xf numFmtId="0" fontId="48" fillId="9" borderId="24" xfId="7" applyBorder="1" applyAlignment="1" applyProtection="1">
      <alignment horizontal="justify" vertical="justify" wrapText="1"/>
    </xf>
    <xf numFmtId="0" fontId="48" fillId="9" borderId="24" xfId="7" applyBorder="1" applyAlignment="1" applyProtection="1">
      <alignment horizontal="justify" vertical="top" wrapText="1"/>
    </xf>
    <xf numFmtId="0" fontId="57" fillId="0" borderId="25" xfId="0" applyFont="1" applyBorder="1" applyAlignment="1" applyProtection="1">
      <alignment horizontal="center" vertical="center"/>
      <protection locked="0"/>
    </xf>
    <xf numFmtId="0" fontId="58" fillId="4" borderId="28" xfId="0" applyFont="1" applyFill="1" applyBorder="1" applyAlignment="1">
      <alignment horizontal="center" vertical="center"/>
    </xf>
    <xf numFmtId="0" fontId="58" fillId="4" borderId="29" xfId="0" applyFont="1" applyFill="1" applyBorder="1" applyAlignment="1">
      <alignment horizontal="center" vertical="center"/>
    </xf>
    <xf numFmtId="0" fontId="58" fillId="4" borderId="27" xfId="0" applyFont="1" applyFill="1" applyBorder="1" applyAlignment="1">
      <alignment horizontal="center" vertical="center"/>
    </xf>
    <xf numFmtId="0" fontId="12" fillId="0" borderId="30" xfId="0" applyFont="1" applyBorder="1" applyAlignment="1">
      <alignment horizontal="justify" vertical="center" wrapText="1"/>
    </xf>
    <xf numFmtId="0" fontId="57" fillId="0" borderId="31" xfId="0" applyFont="1" applyBorder="1" applyAlignment="1" applyProtection="1">
      <alignment horizontal="center" vertical="center"/>
      <protection locked="0"/>
    </xf>
    <xf numFmtId="0" fontId="12" fillId="0" borderId="32" xfId="0" applyFont="1" applyBorder="1" applyAlignment="1">
      <alignment horizontal="justify" vertical="center" wrapText="1"/>
    </xf>
    <xf numFmtId="0" fontId="57" fillId="0" borderId="33" xfId="0" applyFont="1" applyBorder="1" applyAlignment="1" applyProtection="1">
      <alignment horizontal="center" vertical="center"/>
      <protection locked="0"/>
    </xf>
    <xf numFmtId="0" fontId="24" fillId="0" borderId="32" xfId="0" applyFont="1" applyBorder="1" applyAlignment="1">
      <alignment horizontal="justify" vertical="center" wrapText="1"/>
    </xf>
    <xf numFmtId="0" fontId="24" fillId="0" borderId="34" xfId="0" applyFont="1" applyBorder="1" applyAlignment="1">
      <alignment horizontal="justify" vertical="center" wrapText="1"/>
    </xf>
    <xf numFmtId="0" fontId="57" fillId="0" borderId="35" xfId="0" applyFont="1" applyBorder="1" applyAlignment="1" applyProtection="1">
      <alignment horizontal="center" vertical="center"/>
      <protection locked="0"/>
    </xf>
    <xf numFmtId="0" fontId="57" fillId="0" borderId="36" xfId="0" applyFont="1" applyBorder="1" applyAlignment="1" applyProtection="1">
      <alignment horizontal="center" vertical="center"/>
      <protection locked="0"/>
    </xf>
    <xf numFmtId="0" fontId="21" fillId="5" borderId="10" xfId="0" applyFont="1" applyFill="1" applyBorder="1" applyAlignment="1">
      <alignment horizontal="left" vertical="center"/>
    </xf>
    <xf numFmtId="0" fontId="21" fillId="5" borderId="34" xfId="0" applyFont="1" applyFill="1" applyBorder="1" applyAlignment="1">
      <alignment horizontal="left" vertical="center"/>
    </xf>
    <xf numFmtId="0" fontId="16" fillId="8" borderId="37" xfId="6" applyFont="1" applyBorder="1" applyAlignment="1">
      <alignment horizontal="left" vertical="center"/>
    </xf>
    <xf numFmtId="14" fontId="56" fillId="9" borderId="38" xfId="7" applyNumberFormat="1" applyFont="1" applyBorder="1" applyAlignment="1">
      <alignment horizontal="left" vertical="center"/>
    </xf>
    <xf numFmtId="14" fontId="49" fillId="9" borderId="39" xfId="7" applyNumberFormat="1" applyFont="1" applyBorder="1" applyAlignment="1" applyProtection="1">
      <alignment horizontal="right" vertical="center"/>
    </xf>
    <xf numFmtId="0" fontId="19" fillId="0" borderId="5" xfId="0" applyFont="1" applyBorder="1" applyAlignment="1">
      <alignment horizontal="center"/>
    </xf>
    <xf numFmtId="0" fontId="57" fillId="0" borderId="26" xfId="0" applyFont="1" applyBorder="1" applyAlignment="1" applyProtection="1">
      <alignment horizontal="justify" vertical="center" wrapText="1"/>
      <protection locked="0"/>
    </xf>
    <xf numFmtId="0" fontId="57" fillId="0" borderId="25" xfId="0" applyFont="1" applyBorder="1" applyAlignment="1" applyProtection="1">
      <alignment horizontal="justify" vertical="center" wrapText="1"/>
      <protection locked="0"/>
    </xf>
    <xf numFmtId="0" fontId="57" fillId="0" borderId="35" xfId="0" applyFont="1" applyBorder="1" applyAlignment="1" applyProtection="1">
      <alignment horizontal="justify" vertical="center" wrapText="1"/>
      <protection locked="0"/>
    </xf>
    <xf numFmtId="0" fontId="6" fillId="0" borderId="0" xfId="0" applyFont="1"/>
    <xf numFmtId="0" fontId="59" fillId="0" borderId="40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7" fillId="0" borderId="0" xfId="0" applyFont="1"/>
    <xf numFmtId="0" fontId="5" fillId="0" borderId="0" xfId="0" applyFont="1"/>
    <xf numFmtId="0" fontId="16" fillId="0" borderId="0" xfId="0" applyFont="1" applyAlignment="1" applyProtection="1">
      <alignment horizontal="justify" vertical="top"/>
      <protection locked="0"/>
    </xf>
    <xf numFmtId="0" fontId="26" fillId="7" borderId="15" xfId="5" applyFont="1" applyBorder="1" applyAlignment="1" applyProtection="1">
      <alignment horizontal="left" vertical="center"/>
    </xf>
    <xf numFmtId="0" fontId="47" fillId="0" borderId="20" xfId="0" applyFont="1" applyBorder="1" applyAlignment="1" applyProtection="1">
      <alignment horizontal="left" vertical="center" wrapText="1"/>
      <protection locked="0"/>
    </xf>
    <xf numFmtId="0" fontId="46" fillId="0" borderId="19" xfId="0" applyFont="1" applyBorder="1" applyAlignment="1">
      <alignment horizontal="left" vertical="center"/>
    </xf>
    <xf numFmtId="0" fontId="17" fillId="0" borderId="19" xfId="0" applyFont="1" applyBorder="1" applyAlignment="1">
      <alignment horizontal="left"/>
    </xf>
    <xf numFmtId="0" fontId="64" fillId="0" borderId="19" xfId="0" applyFont="1" applyBorder="1" applyAlignment="1">
      <alignment horizontal="left" vertical="center"/>
    </xf>
    <xf numFmtId="2" fontId="0" fillId="0" borderId="20" xfId="0" applyNumberFormat="1" applyBorder="1" applyAlignment="1" applyProtection="1">
      <alignment horizontal="left"/>
      <protection hidden="1"/>
    </xf>
    <xf numFmtId="49" fontId="47" fillId="0" borderId="20" xfId="0" applyNumberFormat="1" applyFont="1" applyBorder="1" applyAlignment="1" applyProtection="1">
      <alignment horizontal="left" vertical="center" wrapText="1"/>
      <protection locked="0"/>
    </xf>
    <xf numFmtId="0" fontId="65" fillId="0" borderId="0" xfId="0" applyFont="1" applyAlignment="1">
      <alignment horizontal="centerContinuous" vertical="top" wrapText="1"/>
    </xf>
    <xf numFmtId="0" fontId="65" fillId="0" borderId="13" xfId="0" applyFont="1" applyBorder="1" applyAlignment="1">
      <alignment horizontal="centerContinuous" vertical="top" wrapText="1"/>
    </xf>
    <xf numFmtId="0" fontId="30" fillId="0" borderId="0" xfId="0" applyFont="1" applyAlignment="1" applyProtection="1">
      <alignment horizontal="left"/>
      <protection locked="0"/>
    </xf>
    <xf numFmtId="0" fontId="66" fillId="0" borderId="12" xfId="0" applyFont="1" applyBorder="1" applyAlignment="1" applyProtection="1">
      <alignment vertical="top" wrapText="1"/>
      <protection locked="0"/>
    </xf>
    <xf numFmtId="0" fontId="67" fillId="0" borderId="12" xfId="0" applyFont="1" applyBorder="1" applyAlignment="1">
      <alignment vertical="top" wrapText="1"/>
    </xf>
    <xf numFmtId="0" fontId="0" fillId="0" borderId="0" xfId="0" applyAlignment="1">
      <alignment horizontal="fill"/>
    </xf>
    <xf numFmtId="0" fontId="16" fillId="0" borderId="0" xfId="0" applyFont="1" applyAlignment="1" applyProtection="1">
      <alignment horizontal="fill" vertical="top" wrapText="1"/>
      <protection locked="0"/>
    </xf>
    <xf numFmtId="0" fontId="66" fillId="0" borderId="12" xfId="0" applyFont="1" applyBorder="1" applyAlignment="1">
      <alignment horizontal="fill" vertical="top" wrapText="1"/>
    </xf>
    <xf numFmtId="0" fontId="12" fillId="0" borderId="0" xfId="0" applyFont="1" applyAlignment="1" applyProtection="1">
      <alignment vertical="top" wrapText="1"/>
      <protection locked="0"/>
    </xf>
    <xf numFmtId="0" fontId="68" fillId="0" borderId="0" xfId="0" applyFont="1" applyAlignment="1" applyProtection="1">
      <alignment vertical="top" wrapText="1"/>
      <protection locked="0"/>
    </xf>
    <xf numFmtId="49" fontId="47" fillId="0" borderId="20" xfId="0" applyNumberFormat="1" applyFont="1" applyBorder="1" applyAlignment="1">
      <alignment horizontal="left" vertical="center" wrapText="1"/>
    </xf>
    <xf numFmtId="0" fontId="47" fillId="0" borderId="20" xfId="0" applyFont="1" applyBorder="1" applyAlignment="1">
      <alignment horizontal="left" vertical="center" wrapText="1"/>
    </xf>
    <xf numFmtId="14" fontId="57" fillId="0" borderId="25" xfId="0" applyNumberFormat="1" applyFont="1" applyBorder="1" applyAlignment="1" applyProtection="1">
      <alignment horizontal="center" vertical="center"/>
      <protection locked="0"/>
    </xf>
    <xf numFmtId="0" fontId="65" fillId="0" borderId="12" xfId="0" applyFont="1" applyBorder="1" applyAlignment="1">
      <alignment horizontal="centerContinuous"/>
    </xf>
    <xf numFmtId="0" fontId="19" fillId="0" borderId="0" xfId="0" applyFont="1" applyAlignment="1">
      <alignment horizontal="left"/>
    </xf>
    <xf numFmtId="20" fontId="30" fillId="0" borderId="13" xfId="0" applyNumberFormat="1" applyFont="1" applyBorder="1" applyAlignment="1">
      <alignment horizontal="left" wrapText="1"/>
    </xf>
    <xf numFmtId="0" fontId="16" fillId="0" borderId="13" xfId="0" applyFont="1" applyBorder="1" applyAlignment="1" applyProtection="1">
      <alignment horizontal="fill" vertical="center"/>
      <protection hidden="1"/>
    </xf>
    <xf numFmtId="14" fontId="57" fillId="0" borderId="26" xfId="0" applyNumberFormat="1" applyFont="1" applyBorder="1" applyAlignment="1" applyProtection="1">
      <alignment horizontal="center" vertical="center"/>
      <protection locked="0"/>
    </xf>
    <xf numFmtId="166" fontId="23" fillId="6" borderId="9" xfId="4" applyNumberFormat="1" applyFont="1" applyBorder="1" applyAlignment="1" applyProtection="1">
      <alignment horizontal="left" vertical="center"/>
    </xf>
    <xf numFmtId="0" fontId="0" fillId="0" borderId="0" xfId="0" applyAlignment="1">
      <alignment horizontal="left"/>
    </xf>
    <xf numFmtId="0" fontId="17" fillId="0" borderId="3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justify" vertical="distributed" wrapText="1"/>
    </xf>
    <xf numFmtId="0" fontId="38" fillId="0" borderId="8" xfId="0" applyFont="1" applyBorder="1" applyAlignment="1">
      <alignment horizontal="left" vertical="center"/>
    </xf>
    <xf numFmtId="0" fontId="17" fillId="0" borderId="4" xfId="0" applyFont="1" applyBorder="1" applyAlignment="1" applyProtection="1">
      <alignment horizontal="center" vertical="center"/>
      <protection locked="0"/>
    </xf>
    <xf numFmtId="0" fontId="12" fillId="0" borderId="12" xfId="0" applyFont="1" applyBorder="1" applyAlignment="1">
      <alignment horizontal="left"/>
    </xf>
    <xf numFmtId="0" fontId="4" fillId="0" borderId="8" xfId="0" applyFont="1" applyBorder="1"/>
    <xf numFmtId="0" fontId="38" fillId="0" borderId="3" xfId="0" applyFont="1" applyBorder="1" applyAlignment="1">
      <alignment horizontal="left" vertical="center"/>
    </xf>
    <xf numFmtId="0" fontId="0" fillId="0" borderId="0" xfId="0" applyNumberFormat="1" applyAlignment="1">
      <alignment horizontal="center" shrinkToFit="1"/>
    </xf>
    <xf numFmtId="0" fontId="0" fillId="0" borderId="0" xfId="0" applyNumberFormat="1" applyAlignment="1">
      <alignment shrinkToFit="1"/>
    </xf>
    <xf numFmtId="167" fontId="0" fillId="0" borderId="0" xfId="0" applyNumberFormat="1" applyAlignment="1">
      <alignment horizontal="left"/>
    </xf>
    <xf numFmtId="167" fontId="0" fillId="0" borderId="0" xfId="0" applyNumberFormat="1"/>
    <xf numFmtId="0" fontId="28" fillId="8" borderId="18" xfId="6" applyFont="1" applyBorder="1" applyAlignment="1" applyProtection="1">
      <alignment horizontal="left" vertical="center"/>
    </xf>
    <xf numFmtId="0" fontId="0" fillId="0" borderId="0" xfId="0" applyNumberFormat="1"/>
    <xf numFmtId="0" fontId="28" fillId="8" borderId="18" xfId="6" applyFont="1" applyBorder="1" applyAlignment="1" applyProtection="1">
      <alignment horizontal="left" vertical="center"/>
      <protection locked="0"/>
    </xf>
    <xf numFmtId="0" fontId="23" fillId="8" borderId="16" xfId="6" applyFont="1" applyBorder="1" applyAlignment="1" applyProtection="1">
      <alignment horizontal="left" vertical="center"/>
      <protection locked="0"/>
    </xf>
    <xf numFmtId="0" fontId="0" fillId="0" borderId="0" xfId="0" applyBorder="1"/>
    <xf numFmtId="0" fontId="51" fillId="0" borderId="0" xfId="0" applyFont="1" applyBorder="1" applyAlignment="1" applyProtection="1">
      <alignment vertical="top" wrapText="1"/>
      <protection locked="0"/>
    </xf>
    <xf numFmtId="0" fontId="0" fillId="10" borderId="0" xfId="0" applyFill="1" applyAlignment="1">
      <alignment horizontal="left"/>
    </xf>
    <xf numFmtId="0" fontId="0" fillId="10" borderId="0" xfId="0" applyFill="1" applyAlignment="1">
      <alignment horizontal="center"/>
    </xf>
    <xf numFmtId="0" fontId="0" fillId="10" borderId="0" xfId="0" applyFill="1"/>
    <xf numFmtId="0" fontId="9" fillId="7" borderId="0" xfId="5" applyAlignment="1" applyProtection="1">
      <alignment horizontal="justify" vertical="top" wrapText="1"/>
      <protection hidden="1"/>
    </xf>
    <xf numFmtId="0" fontId="0" fillId="11" borderId="0" xfId="0" applyFill="1"/>
    <xf numFmtId="0" fontId="0" fillId="12" borderId="0" xfId="0" applyFill="1"/>
    <xf numFmtId="0" fontId="0" fillId="13" borderId="0" xfId="0" applyFill="1"/>
    <xf numFmtId="0" fontId="22" fillId="13" borderId="0" xfId="0" applyFont="1" applyFill="1" applyAlignment="1">
      <alignment horizontal="left"/>
    </xf>
    <xf numFmtId="0" fontId="2" fillId="0" borderId="0" xfId="0" applyFont="1"/>
    <xf numFmtId="0" fontId="70" fillId="0" borderId="0" xfId="0" applyFont="1" applyAlignment="1" applyProtection="1">
      <alignment horizontal="justify" vertical="top" wrapText="1"/>
      <protection locked="0"/>
    </xf>
    <xf numFmtId="0" fontId="3" fillId="0" borderId="0" xfId="0" applyFont="1" applyAlignment="1" applyProtection="1">
      <alignment horizontal="justify" vertical="top" wrapText="1"/>
      <protection locked="0"/>
    </xf>
    <xf numFmtId="0" fontId="3" fillId="0" borderId="13" xfId="0" applyFont="1" applyBorder="1" applyAlignment="1" applyProtection="1">
      <alignment horizontal="justify" vertical="top" wrapText="1"/>
      <protection locked="0"/>
    </xf>
    <xf numFmtId="0" fontId="39" fillId="0" borderId="0" xfId="0" applyFont="1" applyAlignment="1">
      <alignment horizontal="left" vertical="center" wrapText="1"/>
    </xf>
    <xf numFmtId="0" fontId="60" fillId="0" borderId="0" xfId="0" applyFont="1" applyAlignment="1" applyProtection="1">
      <alignment horizontal="justify" vertical="top" wrapText="1"/>
      <protection locked="0"/>
    </xf>
    <xf numFmtId="0" fontId="53" fillId="0" borderId="0" xfId="0" applyFont="1" applyAlignment="1" applyProtection="1">
      <alignment horizontal="justify" vertical="top" wrapText="1"/>
      <protection locked="0"/>
    </xf>
    <xf numFmtId="0" fontId="53" fillId="0" borderId="13" xfId="0" applyFont="1" applyBorder="1" applyAlignment="1" applyProtection="1">
      <alignment horizontal="justify" vertical="top" wrapText="1"/>
      <protection locked="0"/>
    </xf>
    <xf numFmtId="0" fontId="40" fillId="0" borderId="12" xfId="0" applyFont="1" applyBorder="1" applyAlignment="1" applyProtection="1">
      <alignment horizontal="center" vertical="center" wrapText="1"/>
      <protection locked="0"/>
    </xf>
    <xf numFmtId="0" fontId="40" fillId="0" borderId="0" xfId="0" applyFont="1" applyAlignment="1" applyProtection="1">
      <alignment horizontal="center" vertical="center" wrapText="1"/>
      <protection locked="0"/>
    </xf>
    <xf numFmtId="0" fontId="40" fillId="0" borderId="13" xfId="0" applyFont="1" applyBorder="1" applyAlignment="1" applyProtection="1">
      <alignment horizontal="center" vertical="center" wrapText="1"/>
      <protection locked="0"/>
    </xf>
    <xf numFmtId="0" fontId="63" fillId="0" borderId="0" xfId="0" applyFont="1" applyAlignment="1" applyProtection="1">
      <alignment horizontal="justify" vertical="top" wrapText="1"/>
      <protection locked="0"/>
    </xf>
    <xf numFmtId="0" fontId="59" fillId="0" borderId="0" xfId="0" applyFont="1" applyAlignment="1" applyProtection="1">
      <alignment horizontal="justify" vertical="top" wrapText="1"/>
      <protection locked="0"/>
    </xf>
    <xf numFmtId="0" fontId="59" fillId="0" borderId="13" xfId="0" applyFont="1" applyBorder="1" applyAlignment="1" applyProtection="1">
      <alignment horizontal="justify" vertical="top" wrapText="1"/>
      <protection locked="0"/>
    </xf>
    <xf numFmtId="0" fontId="59" fillId="0" borderId="3" xfId="0" applyFont="1" applyBorder="1" applyAlignment="1" applyProtection="1">
      <alignment horizontal="justify" vertical="top" wrapText="1"/>
      <protection locked="0"/>
    </xf>
    <xf numFmtId="0" fontId="59" fillId="0" borderId="9" xfId="0" applyFont="1" applyBorder="1" applyAlignment="1" applyProtection="1">
      <alignment horizontal="justify" vertical="top" wrapText="1"/>
      <protection locked="0"/>
    </xf>
    <xf numFmtId="0" fontId="63" fillId="0" borderId="5" xfId="0" applyFont="1" applyBorder="1" applyAlignment="1" applyProtection="1">
      <alignment horizontal="justify" vertical="top" wrapText="1"/>
      <protection locked="0"/>
    </xf>
    <xf numFmtId="0" fontId="63" fillId="0" borderId="11" xfId="0" applyFont="1" applyBorder="1" applyAlignment="1" applyProtection="1">
      <alignment horizontal="justify" vertical="top" wrapText="1"/>
      <protection locked="0"/>
    </xf>
    <xf numFmtId="0" fontId="63" fillId="0" borderId="13" xfId="0" applyFont="1" applyBorder="1" applyAlignment="1" applyProtection="1">
      <alignment horizontal="justify" vertical="top" wrapText="1"/>
      <protection locked="0"/>
    </xf>
    <xf numFmtId="0" fontId="63" fillId="0" borderId="3" xfId="0" applyFont="1" applyBorder="1" applyAlignment="1" applyProtection="1">
      <alignment horizontal="justify" vertical="top" wrapText="1"/>
      <protection locked="0"/>
    </xf>
    <xf numFmtId="0" fontId="63" fillId="0" borderId="9" xfId="0" applyFont="1" applyBorder="1" applyAlignment="1" applyProtection="1">
      <alignment horizontal="justify" vertical="top" wrapText="1"/>
      <protection locked="0"/>
    </xf>
    <xf numFmtId="0" fontId="61" fillId="0" borderId="10" xfId="0" applyFont="1" applyBorder="1" applyAlignment="1">
      <alignment horizontal="justify" vertical="distributed" wrapText="1"/>
    </xf>
    <xf numFmtId="0" fontId="61" fillId="0" borderId="5" xfId="0" applyFont="1" applyBorder="1" applyAlignment="1">
      <alignment wrapText="1"/>
    </xf>
    <xf numFmtId="0" fontId="61" fillId="0" borderId="11" xfId="0" applyFont="1" applyBorder="1" applyAlignment="1">
      <alignment wrapText="1"/>
    </xf>
    <xf numFmtId="0" fontId="61" fillId="0" borderId="12" xfId="0" applyFont="1" applyBorder="1" applyAlignment="1">
      <alignment wrapText="1"/>
    </xf>
    <xf numFmtId="0" fontId="61" fillId="0" borderId="0" xfId="0" applyFont="1" applyAlignment="1">
      <alignment wrapText="1"/>
    </xf>
    <xf numFmtId="0" fontId="61" fillId="0" borderId="13" xfId="0" applyFont="1" applyBorder="1" applyAlignment="1">
      <alignment wrapText="1"/>
    </xf>
    <xf numFmtId="0" fontId="61" fillId="0" borderId="8" xfId="0" applyFont="1" applyBorder="1" applyAlignment="1">
      <alignment wrapText="1"/>
    </xf>
    <xf numFmtId="0" fontId="61" fillId="0" borderId="3" xfId="0" applyFont="1" applyBorder="1" applyAlignment="1">
      <alignment wrapText="1"/>
    </xf>
    <xf numFmtId="0" fontId="61" fillId="0" borderId="9" xfId="0" applyFont="1" applyBorder="1" applyAlignment="1">
      <alignment wrapText="1"/>
    </xf>
    <xf numFmtId="0" fontId="52" fillId="0" borderId="3" xfId="0" applyFont="1" applyBorder="1" applyAlignment="1" applyProtection="1">
      <alignment horizontal="left" vertical="center"/>
      <protection locked="0"/>
    </xf>
    <xf numFmtId="0" fontId="37" fillId="0" borderId="12" xfId="0" applyFont="1" applyBorder="1" applyAlignment="1" applyProtection="1">
      <alignment horizontal="center" vertical="distributed" wrapText="1"/>
      <protection locked="0"/>
    </xf>
    <xf numFmtId="0" fontId="37" fillId="0" borderId="0" xfId="0" applyFont="1" applyAlignment="1" applyProtection="1">
      <alignment horizontal="center" vertical="distributed" wrapText="1"/>
      <protection locked="0"/>
    </xf>
    <xf numFmtId="0" fontId="37" fillId="0" borderId="13" xfId="0" applyFont="1" applyBorder="1" applyAlignment="1" applyProtection="1">
      <alignment horizontal="center" vertical="distributed" wrapText="1"/>
      <protection locked="0"/>
    </xf>
    <xf numFmtId="0" fontId="52" fillId="0" borderId="4" xfId="0" applyFont="1" applyBorder="1" applyAlignment="1" applyProtection="1">
      <alignment horizontal="left" vertical="center"/>
      <protection locked="0"/>
    </xf>
    <xf numFmtId="0" fontId="1" fillId="0" borderId="0" xfId="0" applyFont="1" applyAlignment="1" applyProtection="1">
      <alignment horizontal="justify" vertical="top" wrapText="1"/>
      <protection locked="0"/>
    </xf>
    <xf numFmtId="0" fontId="42" fillId="0" borderId="0" xfId="0" applyFont="1" applyAlignment="1" applyProtection="1">
      <alignment horizontal="justify" vertical="top" wrapText="1"/>
      <protection locked="0"/>
    </xf>
    <xf numFmtId="0" fontId="42" fillId="0" borderId="13" xfId="0" applyFont="1" applyBorder="1" applyAlignment="1" applyProtection="1">
      <alignment horizontal="justify" vertical="top" wrapText="1"/>
      <protection locked="0"/>
    </xf>
    <xf numFmtId="0" fontId="69" fillId="0" borderId="12" xfId="0" applyFont="1" applyBorder="1" applyAlignment="1" applyProtection="1">
      <alignment horizontal="justify" vertical="top" wrapText="1"/>
      <protection locked="0"/>
    </xf>
    <xf numFmtId="0" fontId="69" fillId="0" borderId="0" xfId="0" applyFont="1" applyAlignment="1">
      <alignment horizontal="justify" vertical="top" wrapText="1"/>
    </xf>
    <xf numFmtId="0" fontId="69" fillId="0" borderId="13" xfId="0" applyFont="1" applyBorder="1" applyAlignment="1">
      <alignment horizontal="justify" vertical="top" wrapText="1"/>
    </xf>
    <xf numFmtId="0" fontId="69" fillId="0" borderId="12" xfId="0" applyFont="1" applyBorder="1" applyAlignment="1">
      <alignment horizontal="justify" vertical="top" wrapText="1"/>
    </xf>
  </cellXfs>
  <cellStyles count="8">
    <cellStyle name="1" xfId="1"/>
    <cellStyle name="20% - Акцент2" xfId="4" builtinId="34"/>
    <cellStyle name="20% - Акцент3" xfId="6" builtinId="38"/>
    <cellStyle name="20% -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118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66676</xdr:colOff>
      <xdr:row>36</xdr:row>
      <xdr:rowOff>123825</xdr:rowOff>
    </xdr:from>
    <xdr:to>
      <xdr:col>2</xdr:col>
      <xdr:colOff>352425</xdr:colOff>
      <xdr:row>49</xdr:row>
      <xdr:rowOff>76200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6" y="6972300"/>
          <a:ext cx="2905124" cy="23431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</xdr:colOff>
      <xdr:row>40</xdr:row>
      <xdr:rowOff>28576</xdr:rowOff>
    </xdr:from>
    <xdr:to>
      <xdr:col>1</xdr:col>
      <xdr:colOff>1428750</xdr:colOff>
      <xdr:row>48</xdr:row>
      <xdr:rowOff>161926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7724776"/>
          <a:ext cx="2619375" cy="158115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41;&#1077;&#1088;&#1077;&#1078;&#1085;&#1086;&#1081;%20&#1045;.&#1048;.%20&#1050;&#1040;&#1043;%20+%20&#1089;&#1090;&#1077;&#1085;&#1090;%20&#1055;&#1053;&#1040;%20&#1054;&#104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АГ"/>
      <sheetName val="ЧКВ"/>
      <sheetName val="КАГ to 1C"/>
      <sheetName val="Карта учёта"/>
      <sheetName val="Вмешательства"/>
      <sheetName val="Расходный материал"/>
      <sheetName val="Сотрудники"/>
      <sheetName val="Остальное"/>
    </sheetNames>
    <sheetDataSet>
      <sheetData sheetId="0"/>
      <sheetData sheetId="1"/>
      <sheetData sheetId="2"/>
      <sheetData sheetId="3"/>
      <sheetData sheetId="4">
        <row r="3">
          <cell r="F3" t="str">
            <v>ОКС с ↑ ST</v>
          </cell>
        </row>
        <row r="19">
          <cell r="F19" t="str">
            <v>Реканализация:</v>
          </cell>
        </row>
      </sheetData>
      <sheetData sheetId="5"/>
      <sheetData sheetId="6"/>
      <sheetData sheetId="7"/>
    </sheetDataSet>
  </externalBook>
</externalLink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117" dataDxfId="116" tableBorderDxfId="115" totalsRowBorderDxfId="114">
  <tableColumns count="5">
    <tableColumn id="1" name="Должность" headerRowDxfId="113" dataDxfId="112"/>
    <tableColumn id="5" name="Столбец2" headerRowDxfId="111" dataDxfId="110"/>
    <tableColumn id="4" name="Столбец1" headerRowDxfId="109" dataDxfId="108"/>
    <tableColumn id="2" name="Бригада_1" headerRowDxfId="107" dataDxfId="106"/>
    <tableColumn id="3" name="Бригада_2" headerRowDxfId="105" dataDxfId="104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4" name="Код.Модели" displayName="Код.Модели" ref="F2:T9" headerRowCount="0" totalsRowShown="0" headerRowCellStyle="Обычный" dataCellStyle="Обычный">
  <tableColumns count="15">
    <tableColumn id="1" name="Диагноз" dataCellStyle="Обычный"/>
    <tableColumn id="2" name="Код модели" dataDxfId="60" dataCellStyle="Обычный"/>
    <tableColumn id="3" name="Стент3" dataDxfId="59" dataCellStyle="Обычный"/>
    <tableColumn id="4" name="Стент4" dataDxfId="58" dataCellStyle="Обычный"/>
    <tableColumn id="5" name="Стент5" dataDxfId="57" dataCellStyle="Обычный"/>
    <tableColumn id="6" name="Стент6" dataDxfId="56" dataCellStyle="Обычный"/>
    <tableColumn id="7" name="Стент7" dataDxfId="55" dataCellStyle="Обычный"/>
    <tableColumn id="8" name="Стент8" dataDxfId="54" dataCellStyle="Обычный"/>
    <tableColumn id="9" name="Стент9" dataDxfId="53" dataCellStyle="Обычный"/>
    <tableColumn id="10" name="Стент10" dataDxfId="52" dataCellStyle="Обычный"/>
    <tableColumn id="11" name="Стент11" dataDxfId="51" dataCellStyle="Обычный"/>
    <tableColumn id="12" name="Стент12" dataDxfId="50" dataCellStyle="Обычный"/>
    <tableColumn id="13" name="Стент13" dataDxfId="49" dataCellStyle="Обычный"/>
    <tableColumn id="14" name="Стент14" dataDxfId="48" dataCellStyle="Обычный"/>
    <tableColumn id="15" name="Стент15" dataDxfId="47" dataCellStyle="Обычный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id="7" name="Код.Метода" displayName="Код.Метода" ref="F12:T15" headerRowCount="0" totalsRowShown="0" dataDxfId="46">
  <tableColumns count="15">
    <tableColumn id="1" name="Диагноз"/>
    <tableColumn id="2" name="Код метода" dataDxfId="45"/>
    <tableColumn id="3" name="Стенты" dataDxfId="44"/>
    <tableColumn id="4" name="Стенты2" dataDxfId="43"/>
    <tableColumn id="5" name="Стенты3" dataDxfId="42"/>
    <tableColumn id="6" name="Стенты4" dataDxfId="41"/>
    <tableColumn id="7" name="Стенты5" dataDxfId="40"/>
    <tableColumn id="8" name="Стенты6" dataDxfId="39"/>
    <tableColumn id="9" name="Стенты7" dataDxfId="38"/>
    <tableColumn id="10" name="Стенты8" dataDxfId="37"/>
    <tableColumn id="11" name="Стенты9" dataDxfId="36"/>
    <tableColumn id="12" name="Стенты10" dataDxfId="35"/>
    <tableColumn id="13" name="Стенты11" dataDxfId="34"/>
    <tableColumn id="14" name="Стенты12" dataDxfId="33"/>
    <tableColumn id="15" name="Стенты13" dataDxfId="32"/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id="20" name="Другое" displayName="Другое" ref="F17:F24" totalsRowShown="0">
  <autoFilter ref="F17:F24"/>
  <tableColumns count="1">
    <tableColumn id="1" name="Другое"/>
  </tableColumns>
  <tableStyleInfo name="TableStyleLight21" showFirstColumn="0" showLastColumn="0" showRowStripes="1" showColumnStripes="0"/>
</table>
</file>

<file path=xl/tables/table13.xml><?xml version="1.0" encoding="utf-8"?>
<table xmlns="http://schemas.openxmlformats.org/spreadsheetml/2006/main" id="1" name="Расходка" displayName="Расходка" ref="A1:C80" totalsRowShown="0">
  <sortState ref="A2:C68">
    <sortCondition ref="B2"/>
  </sortState>
  <tableColumns count="3">
    <tableColumn id="1" name="№">
      <calculatedColumnFormula>ROW(Расходка[[#This Row],[Тип расходного материала ]])-1</calculatedColumnFormula>
    </tableColumn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id="6" name="Размеры" displayName="Размеры" ref="AF1:AG97" totalsRowShown="0" headerRowDxfId="31">
  <sortState ref="AF2:AG62">
    <sortCondition ref="AF2:AF62"/>
    <sortCondition ref="AG2:AG62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Поиск_расходки" displayName="Поиск_расходки" ref="E1:AD78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учёта'!$B$15,Расходка[[#This Row],[Наименование расходного материала]])),MAX($G$1:G1)+1,0)</calculatedColumnFormula>
    </tableColumn>
    <tableColumn id="4" name="Индекс4" dataDxfId="25">
      <calculatedColumnFormula>IF(ISNUMBER(SEARCH('Карта учёта'!#REF!,Расходка[[#This Row],[Наименование расходного материала]])),MAX($H$1:H1)+1,0)</calculatedColumnFormula>
    </tableColumn>
    <tableColumn id="5" name="Индекс5" dataDxfId="24">
      <calculatedColumnFormula>IF(ISNUMBER(SEARCH('Карта учёта'!$B$17,Расходка[[#This Row],[Наименование расходного материала]])),MAX($I$1:I1)+1,0)</calculatedColumnFormula>
    </tableColumn>
    <tableColumn id="6" name="Индекс6" dataDxfId="23">
      <calculatedColumnFormula>IF(ISNUMBER(SEARCH('Карта учёта'!$B$18,Расходка[[#This Row],[Наименование расходного материала]])),MAX($J$1:J1)+1,0)</calculatedColumnFormula>
    </tableColumn>
    <tableColumn id="7" name="Индекс7" dataDxfId="22">
      <calculatedColumnFormula>IF(ISNUMBER(SEARCH('Карта учёта'!$B$16,Расходка[[#This Row],[Наименование расходного материала]])),MAX($K$1:K1)+1,0)</calculatedColumnFormula>
    </tableColumn>
    <tableColumn id="8" name="Индекс8" dataDxfId="21">
      <calculatedColumnFormula>IF(ISNUMBER(SEARCH('Карта учёта'!$B$20,Расходка[[#This Row],[Наименование расходного материала]])),MAX($L$1:L1)+1,0)</calculatedColumnFormula>
    </tableColumn>
    <tableColumn id="9" name="Индекс9" dataDxfId="20">
      <calculatedColumnFormula>IF(ISNUMBER(SEARCH('Карта учёта'!$B$21,Расходка[[#This Row],[Наименование расходного материала]])),MAX($M$1:M1)+1,0)</calculatedColumnFormula>
    </tableColumn>
    <tableColumn id="10" name="Индекс10" dataDxfId="19">
      <calculatedColumnFormula>IF(ISNUMBER(SEARCH('Карта учёта'!$B$22,Расходка[[#This Row],[Наименование расходного материала]])),MAX($N$1:N1)+1,0)</calculatedColumnFormula>
    </tableColumn>
    <tableColumn id="11" name="Индекс11" dataDxfId="18">
      <calculatedColumnFormula>IF(ISNUMBER(SEARCH('Карта учёта'!$B$23,Расходка[[#This Row],[Наименование расходного материала]])),MAX($O$1:O1)+1,0)</calculatedColumnFormula>
    </tableColumn>
    <tableColumn id="12" name="Индекс12" dataDxfId="17">
      <calculatedColumnFormula>IF(ISNUMBER(SEARCH('Карта учёта'!$B$24,Расходка[[#This Row],[Наименование расходного материала]])),MAX($P$1:P1)+1,0)</calculatedColumnFormula>
    </tableColumn>
    <tableColumn id="13" name="Индекс13" dataDxfId="16">
      <calculatedColumnFormula>IF(ISNUMBER(SEARCH('Карта учёта'!$B$25,Расходка[[#This Row],[Наименование расходного материала]])),MAX($Q$1:Q1)+1,0)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материала],MATCH(Расходка[[#This Row],[№]],Поиск_расходки[Индекс1],0)),"")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материала],MATCH(Расходка[[#This Row],[№]],Поиск_расходки[Индекс2],0)),"")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материала],MATCH(Расходка[[#This Row],[№]],Поиск_расходки[Индекс3],0)),"")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материала],MATCH(Расходка[[#This Row],[№]],Поиск_расходки[Индекс4],0)),"")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материала],MATCH(Расходка[[#This Row],[№]],Поиск_расходки[Индекс5],0)),"")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материала],MATCH(Расходка[[#This Row],[№]],Поиск_расходки[Индекс6],0)),"")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материала],MATCH(Расходка[[#This Row],[№]],Поиск_расходки[Индекс7],0)),"")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материала],MATCH(Расходка[[#This Row],[№]],Поиск_расходки[Индекс8],0)),"")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материала],MATCH(Расходка[[#This Row],[№]],Поиск_расходки[Индекс9],0)),"")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материала],MATCH(Расходка[[#This Row],[№]],Поиск_расходки[Индекс10],0)),"")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материала],MATCH(Расходка[[#This Row],[№]],Поиск_расходки[Индекс11],0)),"")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материала],MATCH(Расходка[[#This Row],[№]],Поиск_расходки[Индекс12],0)),"")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материала],MATCH(Расходка[[#This Row],[№]],Поиск_расходки[Индекс13],0)),"")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I10:AI20" totalsRowShown="0">
  <autoFilter ref="AI10:AI20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Коды_Расходки" displayName="Коды_Расходки" ref="AM1:AO12" totalsRowShown="0">
  <autoFilter ref="AM1:AO12"/>
  <tableColumns count="3">
    <tableColumn id="1" name="Код НК МИ" dataDxfId="2"/>
    <tableColumn id="2" name="АБР" dataDxfId="1"/>
    <tableColumn id="3" name="Наименование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5" name="Сотрудники" displayName="Сотрудники" ref="A1:C18" totalsRowShown="0">
  <autoFilter ref="A1:C18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103" dataDxfId="102">
  <tableColumns count="2">
    <tableColumn id="1" name="Столбец1" headerRowDxfId="101" dataDxfId="100"/>
    <tableColumn id="2" name="Столбец2" headerRowDxfId="99" dataDxfId="98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0" name="Сотрудники_2" displayName="Сотрудники_2" ref="A21:B91" totalsRowShown="0">
  <autoFilter ref="A21:B91"/>
  <sortState ref="A21:B89">
    <sortCondition ref="A21:A89"/>
    <sortCondition ref="B21:B89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97" dataDxfId="96" tableBorderDxfId="95" totalsRowBorderDxfId="94">
  <tableColumns count="5">
    <tableColumn id="1" name="Должность" headerRowDxfId="93" dataDxfId="92"/>
    <tableColumn id="5" name="Столбец2" headerRowDxfId="91" dataDxfId="90"/>
    <tableColumn id="4" name="Столбец1" headerRowDxfId="89" dataDxfId="88"/>
    <tableColumn id="2" name="Бригада_1" headerRowDxfId="87" dataDxfId="86"/>
    <tableColumn id="3" name="Бригада_2" headerRowDxfId="85" dataDxfId="84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7:B21" headerRowCount="0" totalsRowShown="0" headerRowDxfId="83" dataDxfId="82">
  <tableColumns count="2">
    <tableColumn id="1" name="Столбец1" headerRowDxfId="81" dataDxfId="80"/>
    <tableColumn id="2" name="Столбец2" headerRowDxfId="79" dataDxfId="78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77" headerRowBorderDxfId="76" tableBorderDxfId="75">
  <tableColumns count="4">
    <tableColumn id="1" name="Тип материала " dataDxfId="74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73"/>
    <tableColumn id="3" name="Размер" dataDxfId="72"/>
    <tableColumn id="4" name="Количество" dataDxfId="71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70" dataDxfId="69">
  <tableColumns count="2">
    <tableColumn id="1" name="Код ЕНМУ" totalsRowFunction="custom" dataDxfId="68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INDEX(Вмешательства!#REF!,MATCH('Карта учёта'!D9,Вмешательства!#REF!,0))</totalsRowFormula>
    </tableColumn>
    <tableColumn id="2" name="Наименование процедуры, манипуляции" dataDxfId="67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5" totalsRowShown="0" headerRowDxfId="66" tableBorderDxfId="65">
  <tableColumns count="4">
    <tableColumn id="1" name="№" dataDxfId="64"/>
    <tableColumn id="2" name="Код услуги" dataDxfId="63"/>
    <tableColumn id="3" name="Номенклатура мед.услуги" dataDxfId="62"/>
    <tableColumn id="4" name="Рентгенэндоваскулярная диагностика и лечение" dataDxfId="61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6" name="Локализация" displayName="Локализация" ref="V1:V13">
  <autoFilter ref="V1:V13"/>
  <tableColumns count="1">
    <tableColumn id="1" name="Локализация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" name="Таблица2" displayName="Таблица2" ref="V15:V17" totalsRowShown="0">
  <autoFilter ref="V15:V17"/>
  <tableColumns count="1">
    <tableColumn id="1" name="Имплантированные медицинские изделия: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6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1:M59"/>
  <sheetViews>
    <sheetView showGridLines="0" showWhiteSpace="0" topLeftCell="A6" zoomScaleNormal="100" zoomScaleSheetLayoutView="100" zoomScalePageLayoutView="90" workbookViewId="0">
      <selection activeCell="B20" sqref="B20:H21"/>
    </sheetView>
  </sheetViews>
  <sheetFormatPr defaultColWidth="0" defaultRowHeight="15" zeroHeight="1"/>
  <cols>
    <col min="1" max="1" width="17.7109375" style="209" bestFit="1" customWidth="1"/>
    <col min="2" max="2" width="21.5703125" style="209" customWidth="1"/>
    <col min="3" max="3" width="6.28515625" style="209" customWidth="1"/>
    <col min="4" max="4" width="6.85546875" style="209" customWidth="1"/>
    <col min="5" max="5" width="4.85546875" style="209" customWidth="1"/>
    <col min="6" max="6" width="6.28515625" style="209" customWidth="1"/>
    <col min="7" max="7" width="17.7109375" style="209" customWidth="1"/>
    <col min="8" max="8" width="17.140625" style="209" customWidth="1"/>
    <col min="9" max="9" width="15.28515625" style="209" customWidth="1"/>
    <col min="10" max="10" width="7.28515625" style="209" customWidth="1"/>
    <col min="11" max="13" width="0" hidden="1" customWidth="1"/>
    <col min="14" max="16384" width="8.85546875" hidden="1"/>
  </cols>
  <sheetData>
    <row r="1" spans="1:8" ht="15.75">
      <c r="A1" s="42" t="s">
        <v>134</v>
      </c>
      <c r="B1" s="43"/>
      <c r="C1" s="43"/>
      <c r="D1" s="43"/>
      <c r="E1" s="43"/>
      <c r="F1" s="43"/>
      <c r="G1" s="43"/>
      <c r="H1" s="44"/>
    </row>
    <row r="2" spans="1:8">
      <c r="A2" s="45" t="s">
        <v>135</v>
      </c>
      <c r="B2" s="46"/>
      <c r="C2" s="46"/>
      <c r="D2" s="46"/>
      <c r="E2" s="46"/>
      <c r="F2" s="46"/>
      <c r="G2" s="46"/>
      <c r="H2" s="47"/>
    </row>
    <row r="3" spans="1:8">
      <c r="A3" s="45" t="s">
        <v>136</v>
      </c>
      <c r="B3" s="46"/>
      <c r="C3" s="46"/>
      <c r="D3" s="46"/>
      <c r="E3" s="46"/>
      <c r="F3" s="46"/>
      <c r="G3" s="46"/>
      <c r="H3" s="47"/>
    </row>
    <row r="4" spans="1:8">
      <c r="A4" s="48" t="s">
        <v>137</v>
      </c>
      <c r="B4" s="49"/>
      <c r="C4" s="49"/>
      <c r="D4" s="49"/>
      <c r="E4" s="49"/>
      <c r="F4" s="49"/>
      <c r="G4" s="49"/>
      <c r="H4" s="50"/>
    </row>
    <row r="5" spans="1:8">
      <c r="A5" s="37"/>
      <c r="B5"/>
      <c r="C5"/>
      <c r="D5"/>
      <c r="E5"/>
      <c r="F5"/>
      <c r="G5"/>
      <c r="H5" s="38"/>
    </row>
    <row r="6" spans="1:8">
      <c r="A6" s="221" t="s">
        <v>212</v>
      </c>
      <c r="B6" s="222"/>
      <c r="C6" s="222"/>
      <c r="D6" s="222"/>
      <c r="E6" s="222"/>
      <c r="F6" s="222"/>
      <c r="G6" s="222"/>
      <c r="H6" s="223"/>
    </row>
    <row r="7" spans="1:8">
      <c r="A7" s="51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B7"/>
      <c r="C7" s="52"/>
      <c r="D7" s="52"/>
      <c r="E7" s="52"/>
      <c r="F7" s="52"/>
      <c r="G7"/>
      <c r="H7" s="38"/>
    </row>
    <row r="8" spans="1:8" ht="18.75">
      <c r="A8" s="13" t="s">
        <v>190</v>
      </c>
      <c r="B8" s="19">
        <v>45751</v>
      </c>
      <c r="C8" s="53"/>
      <c r="D8" s="15" t="s">
        <v>185</v>
      </c>
      <c r="E8" s="28"/>
      <c r="F8" s="28"/>
      <c r="G8" s="16"/>
      <c r="H8" s="17"/>
    </row>
    <row r="9" spans="1:8" ht="15.6" customHeight="1">
      <c r="A9" s="20" t="s">
        <v>192</v>
      </c>
      <c r="B9" s="21">
        <v>0.35416666666666669</v>
      </c>
      <c r="C9" s="53"/>
      <c r="D9" s="93" t="s">
        <v>171</v>
      </c>
      <c r="E9" s="91"/>
      <c r="F9" s="91"/>
      <c r="G9" s="22" t="s">
        <v>162</v>
      </c>
      <c r="H9" s="24"/>
    </row>
    <row r="10" spans="1:8" ht="15.6" customHeight="1" thickBot="1">
      <c r="A10" s="82" t="s">
        <v>193</v>
      </c>
      <c r="B10" s="83">
        <v>0.3611111111111111</v>
      </c>
      <c r="C10" s="54"/>
      <c r="D10" s="94" t="s">
        <v>172</v>
      </c>
      <c r="E10" s="92"/>
      <c r="F10" s="92"/>
      <c r="G10" s="23" t="s">
        <v>149</v>
      </c>
      <c r="H10" s="25"/>
    </row>
    <row r="11" spans="1:8" ht="17.25" thickTop="1" thickBot="1">
      <c r="A11" s="88" t="s">
        <v>191</v>
      </c>
      <c r="B11" s="201" t="s">
        <v>539</v>
      </c>
      <c r="C11" s="8"/>
      <c r="D11" s="94" t="s">
        <v>169</v>
      </c>
      <c r="E11" s="92"/>
      <c r="F11" s="92"/>
      <c r="G11" s="23" t="s">
        <v>248</v>
      </c>
      <c r="H11" s="25"/>
    </row>
    <row r="12" spans="1:8" ht="16.5" thickTop="1">
      <c r="A12" s="80" t="s">
        <v>8</v>
      </c>
      <c r="B12" s="81">
        <v>13991</v>
      </c>
      <c r="C12" s="11"/>
      <c r="D12" s="94" t="s">
        <v>301</v>
      </c>
      <c r="E12" s="92"/>
      <c r="F12" s="92"/>
      <c r="G12" s="23" t="s">
        <v>176</v>
      </c>
      <c r="H12" s="25"/>
    </row>
    <row r="13" spans="1:8" ht="15.75">
      <c r="A13" s="14" t="s">
        <v>10</v>
      </c>
      <c r="B13" s="29">
        <f>DATEDIF(B12,B8,"y")</f>
        <v>86</v>
      </c>
      <c r="C13" s="11"/>
      <c r="D13" s="94"/>
      <c r="E13" s="92"/>
      <c r="F13" s="92"/>
      <c r="G13" s="23"/>
      <c r="H13" s="25"/>
    </row>
    <row r="14" spans="1:8" ht="15.75">
      <c r="A14" s="14" t="s">
        <v>12</v>
      </c>
      <c r="B14" s="18">
        <v>9316</v>
      </c>
      <c r="C14" s="11"/>
      <c r="D14" s="35"/>
      <c r="E14" s="35"/>
      <c r="F14" s="35"/>
      <c r="G14" s="36"/>
      <c r="H14" s="55"/>
    </row>
    <row r="15" spans="1:8" ht="15.75">
      <c r="A15" s="14" t="s">
        <v>132</v>
      </c>
      <c r="B15" s="18">
        <v>35</v>
      </c>
      <c r="C15"/>
      <c r="D15" s="35"/>
      <c r="E15" s="35"/>
      <c r="F15" s="35"/>
      <c r="G15" s="163" t="s">
        <v>395</v>
      </c>
      <c r="H15" s="167" t="s">
        <v>538</v>
      </c>
    </row>
    <row r="16" spans="1:8" ht="15.6" customHeight="1">
      <c r="A16" s="14" t="s">
        <v>106</v>
      </c>
      <c r="B16" s="18" t="s">
        <v>309</v>
      </c>
      <c r="C16"/>
      <c r="D16" s="35"/>
      <c r="E16" s="35"/>
      <c r="F16" s="35"/>
      <c r="G16" s="164" t="s">
        <v>397</v>
      </c>
      <c r="H16" s="162">
        <v>3040</v>
      </c>
    </row>
    <row r="17" spans="1:8" ht="14.45" customHeight="1">
      <c r="A17" s="39"/>
      <c r="B17" s="30"/>
      <c r="C17" s="30"/>
      <c r="D17" s="87"/>
      <c r="E17" s="87"/>
      <c r="F17" s="87"/>
      <c r="G17" s="165" t="s">
        <v>384</v>
      </c>
      <c r="H17" s="166">
        <f>H16*0.0019</f>
        <v>5.7759999999999998</v>
      </c>
    </row>
    <row r="18" spans="1:8" ht="14.45" customHeight="1">
      <c r="A18" s="56" t="s">
        <v>187</v>
      </c>
      <c r="B18" s="86" t="s">
        <v>534</v>
      </c>
      <c r="C18"/>
      <c r="D18" s="27" t="s">
        <v>209</v>
      </c>
      <c r="E18" s="27"/>
      <c r="F18" s="27"/>
      <c r="G18" s="84" t="s">
        <v>188</v>
      </c>
      <c r="H18" s="85" t="s">
        <v>525</v>
      </c>
    </row>
    <row r="19" spans="1:8" ht="14.45" customHeight="1">
      <c r="A19" s="39"/>
      <c r="B19" s="30"/>
      <c r="C19" s="30"/>
      <c r="D19" s="33"/>
      <c r="E19" s="33"/>
      <c r="F19" s="33"/>
      <c r="G19" s="30"/>
      <c r="H19" s="40"/>
    </row>
    <row r="20" spans="1:8" ht="14.45" customHeight="1">
      <c r="A20" s="56" t="s">
        <v>211</v>
      </c>
      <c r="B20" s="224" t="s">
        <v>535</v>
      </c>
      <c r="C20" s="225"/>
      <c r="D20" s="225"/>
      <c r="E20" s="225"/>
      <c r="F20" s="225"/>
      <c r="G20" s="225"/>
      <c r="H20" s="226"/>
    </row>
    <row r="21" spans="1:8">
      <c r="A21" s="57"/>
      <c r="B21" s="227"/>
      <c r="C21" s="227"/>
      <c r="D21" s="227"/>
      <c r="E21" s="227"/>
      <c r="F21" s="227"/>
      <c r="G21" s="227"/>
      <c r="H21" s="228"/>
    </row>
    <row r="22" spans="1:8" ht="15.6" customHeight="1">
      <c r="A22" s="58" t="s">
        <v>270</v>
      </c>
      <c r="B22" s="229" t="s">
        <v>542</v>
      </c>
      <c r="C22" s="229"/>
      <c r="D22" s="229"/>
      <c r="E22" s="229"/>
      <c r="F22" s="229"/>
      <c r="G22" s="229"/>
      <c r="H22" s="230"/>
    </row>
    <row r="23" spans="1:8" ht="14.45" customHeight="1">
      <c r="A23" s="37"/>
      <c r="B23" s="224"/>
      <c r="C23" s="224"/>
      <c r="D23" s="224"/>
      <c r="E23" s="224"/>
      <c r="F23" s="224"/>
      <c r="G23" s="224"/>
      <c r="H23" s="231"/>
    </row>
    <row r="24" spans="1:8" ht="14.45" customHeight="1">
      <c r="A24" s="59"/>
      <c r="B24" s="224"/>
      <c r="C24" s="224"/>
      <c r="D24" s="224"/>
      <c r="E24" s="224"/>
      <c r="F24" s="224"/>
      <c r="G24" s="224"/>
      <c r="H24" s="231"/>
    </row>
    <row r="25" spans="1:8" ht="14.45" customHeight="1">
      <c r="A25" s="37"/>
      <c r="B25" s="224"/>
      <c r="C25" s="224"/>
      <c r="D25" s="224"/>
      <c r="E25" s="224"/>
      <c r="F25" s="224"/>
      <c r="G25" s="224"/>
      <c r="H25" s="231"/>
    </row>
    <row r="26" spans="1:8" ht="14.45" customHeight="1">
      <c r="A26" s="39"/>
      <c r="B26" s="232"/>
      <c r="C26" s="232"/>
      <c r="D26" s="232"/>
      <c r="E26" s="232"/>
      <c r="F26" s="232"/>
      <c r="G26" s="232"/>
      <c r="H26" s="233"/>
    </row>
    <row r="27" spans="1:8" ht="14.45" customHeight="1">
      <c r="A27" s="58" t="s">
        <v>271</v>
      </c>
      <c r="B27" s="229" t="s">
        <v>540</v>
      </c>
      <c r="C27" s="229"/>
      <c r="D27" s="229"/>
      <c r="E27" s="229"/>
      <c r="F27" s="229"/>
      <c r="G27" s="229"/>
      <c r="H27" s="230"/>
    </row>
    <row r="28" spans="1:8" ht="15.6" customHeight="1">
      <c r="A28" s="37"/>
      <c r="B28" s="224"/>
      <c r="C28" s="224"/>
      <c r="D28" s="224"/>
      <c r="E28" s="224"/>
      <c r="F28" s="224"/>
      <c r="G28" s="224"/>
      <c r="H28" s="231"/>
    </row>
    <row r="29" spans="1:8" ht="14.45" customHeight="1">
      <c r="A29" s="37"/>
      <c r="B29" s="224"/>
      <c r="C29" s="224"/>
      <c r="D29" s="224"/>
      <c r="E29" s="224"/>
      <c r="F29" s="224"/>
      <c r="G29" s="224"/>
      <c r="H29" s="231"/>
    </row>
    <row r="30" spans="1:8" ht="14.45" customHeight="1">
      <c r="A30" s="31"/>
      <c r="B30" s="224"/>
      <c r="C30" s="224"/>
      <c r="D30" s="224"/>
      <c r="E30" s="224"/>
      <c r="F30" s="224"/>
      <c r="G30" s="224"/>
      <c r="H30" s="231"/>
    </row>
    <row r="31" spans="1:8" ht="14.45" customHeight="1">
      <c r="A31" s="32"/>
      <c r="B31" s="232"/>
      <c r="C31" s="232"/>
      <c r="D31" s="232"/>
      <c r="E31" s="232"/>
      <c r="F31" s="232"/>
      <c r="G31" s="232"/>
      <c r="H31" s="233"/>
    </row>
    <row r="32" spans="1:8" ht="14.45" customHeight="1">
      <c r="A32" s="58" t="s">
        <v>272</v>
      </c>
      <c r="B32" s="229" t="s">
        <v>541</v>
      </c>
      <c r="C32" s="229"/>
      <c r="D32" s="229"/>
      <c r="E32" s="229"/>
      <c r="F32" s="229"/>
      <c r="G32" s="229"/>
      <c r="H32" s="230"/>
    </row>
    <row r="33" spans="1:8" ht="14.45" customHeight="1">
      <c r="A33" s="37"/>
      <c r="B33" s="224"/>
      <c r="C33" s="224"/>
      <c r="D33" s="224"/>
      <c r="E33" s="224"/>
      <c r="F33" s="224"/>
      <c r="G33" s="224"/>
      <c r="H33" s="231"/>
    </row>
    <row r="34" spans="1:8" ht="15.6" customHeight="1">
      <c r="A34" s="37"/>
      <c r="B34" s="224"/>
      <c r="C34" s="224"/>
      <c r="D34" s="224"/>
      <c r="E34" s="224"/>
      <c r="F34" s="224"/>
      <c r="G34" s="224"/>
      <c r="H34" s="231"/>
    </row>
    <row r="35" spans="1:8" ht="14.45" customHeight="1">
      <c r="A35" s="37"/>
      <c r="B35" s="224"/>
      <c r="C35" s="224"/>
      <c r="D35" s="224"/>
      <c r="E35" s="224"/>
      <c r="F35" s="224"/>
      <c r="G35" s="224"/>
      <c r="H35" s="231"/>
    </row>
    <row r="36" spans="1:8" ht="15.6" customHeight="1">
      <c r="A36" s="37"/>
      <c r="B36" s="224"/>
      <c r="C36" s="224"/>
      <c r="D36" s="224"/>
      <c r="E36" s="224"/>
      <c r="F36" s="224"/>
      <c r="G36" s="224"/>
      <c r="H36" s="231"/>
    </row>
    <row r="37" spans="1:8" ht="14.45" customHeight="1">
      <c r="A37" s="37"/>
      <c r="B37"/>
      <c r="C37"/>
      <c r="D37" s="217" t="str">
        <f>IF($A$6=Вмешательства!$D$3,Вмешательства!$F$18,"")</f>
        <v/>
      </c>
      <c r="E37" s="217"/>
      <c r="F37" s="118"/>
      <c r="G37" s="118"/>
      <c r="H37" s="122"/>
    </row>
    <row r="38" spans="1:8" ht="14.45" customHeight="1">
      <c r="A38" s="37"/>
      <c r="B38"/>
      <c r="C38" s="123"/>
      <c r="D38" s="218"/>
      <c r="E38" s="219"/>
      <c r="F38" s="219"/>
      <c r="G38" s="219"/>
      <c r="H38" s="220"/>
    </row>
    <row r="39" spans="1:8" ht="14.45" customHeight="1">
      <c r="A39" s="34"/>
      <c r="B39" s="118"/>
      <c r="C39" s="123"/>
      <c r="D39" s="219"/>
      <c r="E39" s="219"/>
      <c r="F39" s="219"/>
      <c r="G39" s="219"/>
      <c r="H39" s="220"/>
    </row>
    <row r="40" spans="1:8" ht="14.45" customHeight="1">
      <c r="A40" s="34"/>
      <c r="B40" s="118"/>
      <c r="C40" s="123"/>
      <c r="D40" s="219"/>
      <c r="E40" s="219"/>
      <c r="F40" s="219"/>
      <c r="G40" s="219"/>
      <c r="H40" s="220"/>
    </row>
    <row r="41" spans="1:8" ht="14.45" customHeight="1">
      <c r="A41" s="34"/>
      <c r="B41" s="118"/>
      <c r="C41" s="123"/>
      <c r="D41" s="219"/>
      <c r="E41" s="219"/>
      <c r="F41" s="219"/>
      <c r="G41" s="219"/>
      <c r="H41" s="220"/>
    </row>
    <row r="42" spans="1:8" ht="14.45" customHeight="1">
      <c r="A42" s="34"/>
      <c r="B42" s="118"/>
      <c r="C42" s="124"/>
      <c r="D42" s="126" t="str">
        <f>IF(ЧКВ!A6=Вмешательства!D4,Вмешательства!F24,IF(ЧКВ!A6=Вмешательства!D5,Вмешательства!F24,IF(ЧКВ!A6=Вмешательства!D6,Вмешательства!F24,IF(ЧКВ!A6=Вмешательства!D7,Вмешательства!F24,"Рекомендовано:"))))</f>
        <v>План оперативного вмешательства:</v>
      </c>
      <c r="E42" s="41"/>
      <c r="F42" s="41"/>
      <c r="G42" s="41"/>
      <c r="H42" s="60"/>
    </row>
    <row r="43" spans="1:8" ht="14.45" customHeight="1">
      <c r="A43" s="34"/>
      <c r="B43" s="118"/>
      <c r="C43" s="125"/>
      <c r="D43" s="214" t="s">
        <v>536</v>
      </c>
      <c r="E43" s="215"/>
      <c r="F43" s="215"/>
      <c r="G43" s="215"/>
      <c r="H43" s="216"/>
    </row>
    <row r="44" spans="1:8" ht="14.45" customHeight="1">
      <c r="A44" s="34"/>
      <c r="B44" s="118"/>
      <c r="C44" s="125"/>
      <c r="D44" s="215"/>
      <c r="E44" s="215"/>
      <c r="F44" s="215"/>
      <c r="G44" s="215"/>
      <c r="H44" s="216"/>
    </row>
    <row r="45" spans="1:8" ht="14.45" customHeight="1">
      <c r="A45" s="34"/>
      <c r="B45" s="118"/>
      <c r="C45" s="125"/>
      <c r="D45" s="215"/>
      <c r="E45" s="215"/>
      <c r="F45" s="215"/>
      <c r="G45" s="215"/>
      <c r="H45" s="216"/>
    </row>
    <row r="46" spans="1:8">
      <c r="A46" s="34"/>
      <c r="B46" s="118"/>
      <c r="C46" s="125"/>
      <c r="D46" s="215"/>
      <c r="E46" s="215"/>
      <c r="F46" s="215"/>
      <c r="G46" s="215"/>
      <c r="H46" s="216"/>
    </row>
    <row r="47" spans="1:8">
      <c r="A47" s="37"/>
      <c r="B47"/>
      <c r="C47" s="125"/>
      <c r="D47" s="215"/>
      <c r="E47" s="215"/>
      <c r="F47" s="215"/>
      <c r="G47" s="215"/>
      <c r="H47" s="216"/>
    </row>
    <row r="48" spans="1:8">
      <c r="A48" s="37"/>
      <c r="B48"/>
      <c r="C48" s="125"/>
      <c r="D48" s="215"/>
      <c r="E48" s="215"/>
      <c r="F48" s="215"/>
      <c r="G48" s="215"/>
      <c r="H48" s="216"/>
    </row>
    <row r="49" spans="1:13">
      <c r="A49" s="37"/>
      <c r="B49" s="203"/>
      <c r="C49" s="204"/>
      <c r="D49" s="215"/>
      <c r="E49" s="215"/>
      <c r="F49" s="215"/>
      <c r="G49" s="215"/>
      <c r="H49" s="216"/>
    </row>
    <row r="50" spans="1:13">
      <c r="A50" s="37"/>
      <c r="B50"/>
      <c r="C50"/>
      <c r="D50" s="215"/>
      <c r="E50" s="215"/>
      <c r="F50" s="215"/>
      <c r="G50" s="215"/>
      <c r="H50" s="216"/>
      <c r="M50" t="s">
        <v>210</v>
      </c>
    </row>
    <row r="51" spans="1:13">
      <c r="A51" s="61" t="s">
        <v>203</v>
      </c>
      <c r="B51" s="62" t="s">
        <v>530</v>
      </c>
      <c r="C51"/>
      <c r="D51"/>
      <c r="E51"/>
      <c r="F51"/>
      <c r="G51" s="73" t="str">
        <f>$G$9</f>
        <v>Щербаков А.С.</v>
      </c>
      <c r="H51" s="63"/>
    </row>
    <row r="52" spans="1:13">
      <c r="A52" s="37"/>
      <c r="B52"/>
      <c r="C52"/>
      <c r="D52"/>
      <c r="E52"/>
      <c r="F52"/>
      <c r="G52"/>
      <c r="H52" s="38"/>
    </row>
    <row r="53" spans="1:13">
      <c r="A53" s="64" t="s">
        <v>205</v>
      </c>
      <c r="B53" s="65" t="s">
        <v>523</v>
      </c>
      <c r="C53"/>
      <c r="D53"/>
      <c r="E53"/>
      <c r="F53"/>
      <c r="G53" s="73" t="str">
        <f>IF(ISBLANK(H9),"",H9)</f>
        <v/>
      </c>
      <c r="H53" s="63"/>
    </row>
    <row r="54" spans="1:13">
      <c r="A54" s="39"/>
      <c r="B54" s="30"/>
      <c r="C54" s="30"/>
      <c r="D54" s="30"/>
      <c r="E54" s="30"/>
      <c r="F54" s="30"/>
      <c r="G54" s="30"/>
      <c r="H54" s="40"/>
    </row>
    <row r="55" spans="1:13"/>
    <row r="56" spans="1:13"/>
    <row r="57" spans="1:13"/>
    <row r="58" spans="1:13"/>
    <row r="59" spans="1:13"/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9"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Вмешательства!$F$3:$F$9</xm:f>
          </x14:formula1>
          <xm:sqref>B16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L60"/>
  <sheetViews>
    <sheetView showGridLines="0" tabSelected="1" showWhiteSpace="0" zoomScaleNormal="100" zoomScaleSheetLayoutView="100" zoomScalePageLayoutView="90" workbookViewId="0">
      <selection activeCell="A25" sqref="A25:H37"/>
    </sheetView>
  </sheetViews>
  <sheetFormatPr defaultColWidth="0" defaultRowHeight="15" zeroHeight="1"/>
  <cols>
    <col min="1" max="1" width="18.85546875" style="210" customWidth="1"/>
    <col min="2" max="2" width="21.5703125" style="210" customWidth="1"/>
    <col min="3" max="3" width="6.28515625" style="210" customWidth="1"/>
    <col min="4" max="4" width="6.85546875" style="210" customWidth="1"/>
    <col min="5" max="5" width="4.85546875" style="210" customWidth="1"/>
    <col min="6" max="6" width="6" style="210" customWidth="1"/>
    <col min="7" max="7" width="17.7109375" style="210" customWidth="1"/>
    <col min="8" max="8" width="17.140625" style="210" customWidth="1"/>
    <col min="9" max="9" width="15.28515625" style="210" customWidth="1"/>
    <col min="10" max="10" width="7.28515625" style="210" customWidth="1"/>
    <col min="11" max="12" width="0" hidden="1" customWidth="1"/>
    <col min="13" max="16384" width="8.85546875" hidden="1"/>
  </cols>
  <sheetData>
    <row r="1" spans="1:8" ht="15.75">
      <c r="A1" s="42" t="s">
        <v>134</v>
      </c>
      <c r="B1" s="43"/>
      <c r="C1" s="43"/>
      <c r="D1" s="43"/>
      <c r="E1" s="43"/>
      <c r="F1" s="43"/>
      <c r="G1" s="43"/>
      <c r="H1" s="44"/>
    </row>
    <row r="2" spans="1:8">
      <c r="A2" s="45" t="s">
        <v>135</v>
      </c>
      <c r="B2" s="46"/>
      <c r="C2" s="46"/>
      <c r="D2" s="46"/>
      <c r="E2" s="46"/>
      <c r="F2" s="46"/>
      <c r="G2" s="46"/>
      <c r="H2" s="47"/>
    </row>
    <row r="3" spans="1:8">
      <c r="A3" s="45" t="s">
        <v>136</v>
      </c>
      <c r="B3" s="46"/>
      <c r="C3" s="46"/>
      <c r="D3" s="46"/>
      <c r="E3" s="46"/>
      <c r="F3" s="46"/>
      <c r="G3" s="46"/>
      <c r="H3" s="47"/>
    </row>
    <row r="4" spans="1:8">
      <c r="A4" s="48" t="s">
        <v>137</v>
      </c>
      <c r="B4" s="49"/>
      <c r="C4" s="49"/>
      <c r="D4" s="49"/>
      <c r="E4" s="49"/>
      <c r="F4" s="49"/>
      <c r="G4" s="49"/>
      <c r="H4" s="50"/>
    </row>
    <row r="5" spans="1:8">
      <c r="A5" s="37"/>
      <c r="B5"/>
      <c r="C5"/>
      <c r="D5"/>
      <c r="E5"/>
      <c r="F5"/>
      <c r="G5"/>
      <c r="H5" s="38"/>
    </row>
    <row r="6" spans="1:8" ht="15.6" customHeight="1">
      <c r="A6" s="244" t="s">
        <v>207</v>
      </c>
      <c r="B6" s="245"/>
      <c r="C6" s="245"/>
      <c r="D6" s="245"/>
      <c r="E6" s="245"/>
      <c r="F6" s="245"/>
      <c r="G6" s="245"/>
      <c r="H6" s="246"/>
    </row>
    <row r="7" spans="1:8" ht="21.6" customHeight="1">
      <c r="A7" s="244"/>
      <c r="B7" s="245"/>
      <c r="C7" s="245"/>
      <c r="D7" s="245"/>
      <c r="E7" s="245"/>
      <c r="F7" s="245"/>
      <c r="G7" s="245"/>
      <c r="H7" s="246"/>
    </row>
    <row r="8" spans="1:8" ht="17.25" thickBot="1">
      <c r="A8" s="51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B8"/>
      <c r="C8" s="243" t="s">
        <v>220</v>
      </c>
      <c r="D8" s="243"/>
      <c r="E8" s="243"/>
      <c r="F8" s="188">
        <v>1</v>
      </c>
      <c r="G8" s="117" t="s">
        <v>307</v>
      </c>
      <c r="H8" s="156"/>
    </row>
    <row r="9" spans="1:8" ht="15.75" thickTop="1">
      <c r="A9" s="51" t="str">
        <f>"Код модели:"&amp;" "&amp;IFERROR(IF(ISBLANK(H8),IF(A6=Вмешательства!D4,INDEX(Код.Модели[#All],MATCH(ЧКВ!B21,Код.Модели[[#All],[Диагноз]],0),MATCH(ЧКВ!C11,Вмешательства!F2:T2,0))," ")," "),"")</f>
        <v>Код модели: 21167</v>
      </c>
      <c r="B9"/>
      <c r="C9" s="243"/>
      <c r="D9" s="243"/>
      <c r="E9" s="243"/>
      <c r="F9" s="188"/>
      <c r="G9" s="117"/>
      <c r="H9" s="38"/>
    </row>
    <row r="10" spans="1:8">
      <c r="A10" s="51" t="str">
        <f>"Код метода:"&amp;" "&amp;IFERROR(IF(ISBLANK(ЧКВ!H8),IF(A6=Вмешательства!D4,INDEX(Код.Метода[#All],MATCH(ЧКВ!B21,Код.Метода[[#All],[Диагноз]],0),MATCH(ЧКВ!C11,Вмешательства!F12:T12,0))," ")," "),"")</f>
        <v>Код метода: 47</v>
      </c>
      <c r="B10" s="187"/>
      <c r="C10" s="247"/>
      <c r="D10" s="247"/>
      <c r="E10" s="247"/>
      <c r="F10" s="191"/>
      <c r="G10" s="117"/>
      <c r="H10" s="38"/>
    </row>
    <row r="11" spans="1:8">
      <c r="A11" s="190"/>
      <c r="B11" s="194"/>
      <c r="C11" s="197">
        <f>SUM(F8:F10)</f>
        <v>1</v>
      </c>
      <c r="D11"/>
      <c r="E11"/>
      <c r="F11"/>
      <c r="G11"/>
      <c r="H11" s="38"/>
    </row>
    <row r="12" spans="1:8" ht="18.75">
      <c r="A12" s="74" t="s">
        <v>190</v>
      </c>
      <c r="B12" s="19">
        <f>КАГ!B8</f>
        <v>45751</v>
      </c>
      <c r="C12" s="11"/>
      <c r="D12" s="15" t="s">
        <v>185</v>
      </c>
      <c r="E12" s="28"/>
      <c r="F12" s="28"/>
      <c r="G12" s="16"/>
      <c r="H12" s="17"/>
    </row>
    <row r="13" spans="1:8" ht="15.75">
      <c r="A13" s="75" t="s">
        <v>192</v>
      </c>
      <c r="B13" s="21">
        <f>КАГ!B10</f>
        <v>0.3611111111111111</v>
      </c>
      <c r="C13" s="11"/>
      <c r="D13" s="93" t="s">
        <v>171</v>
      </c>
      <c r="E13" s="91"/>
      <c r="F13" s="91"/>
      <c r="G13" s="78" t="str">
        <f>КАГ!G9</f>
        <v>Щербаков А.С.</v>
      </c>
      <c r="H13" s="89" t="str">
        <f>IF(ISBLANK(КАГ!H9),"",КАГ!H9)</f>
        <v/>
      </c>
    </row>
    <row r="14" spans="1:8" ht="16.5" thickBot="1">
      <c r="A14" s="75" t="s">
        <v>193</v>
      </c>
      <c r="B14" s="83">
        <v>0.3888888888888889</v>
      </c>
      <c r="C14" s="11"/>
      <c r="D14" s="94" t="s">
        <v>172</v>
      </c>
      <c r="E14" s="92"/>
      <c r="F14" s="92"/>
      <c r="G14" s="79" t="str">
        <f>КАГ!G10</f>
        <v>Казанцева А.М.</v>
      </c>
      <c r="H14" s="90" t="str">
        <f>IF(ISBLANK(КАГ!H10),"",КАГ!H10)</f>
        <v/>
      </c>
    </row>
    <row r="15" spans="1:8" ht="17.25" thickTop="1" thickBot="1">
      <c r="A15" s="161" t="s">
        <v>383</v>
      </c>
      <c r="B15" s="186">
        <f>IF(B14&lt;B13,B14+1,B14)-B13</f>
        <v>2.777777777777779E-2</v>
      </c>
      <c r="C15"/>
      <c r="D15" s="94" t="s">
        <v>169</v>
      </c>
      <c r="E15" s="92"/>
      <c r="F15" s="92"/>
      <c r="G15" s="79" t="str">
        <f>КАГ!G11</f>
        <v>Равинская Я.А.</v>
      </c>
      <c r="H15" s="90" t="str">
        <f>IF(ISBLANK(КАГ!H11),"",КАГ!H11)</f>
        <v/>
      </c>
    </row>
    <row r="16" spans="1:8" ht="17.25" thickTop="1" thickBot="1">
      <c r="A16" s="88" t="s">
        <v>191</v>
      </c>
      <c r="B16" s="199" t="str">
        <f>КАГ!B11</f>
        <v>Пеньковая К.Н.</v>
      </c>
      <c r="C16" s="198">
        <f>LEN(КАГ!B11)</f>
        <v>14</v>
      </c>
      <c r="D16" s="94" t="s">
        <v>301</v>
      </c>
      <c r="E16" s="92"/>
      <c r="F16" s="92"/>
      <c r="G16" s="79" t="str">
        <f>КАГ!G12</f>
        <v>Мишина Е.А</v>
      </c>
      <c r="H16" s="90" t="str">
        <f>IF(ISBLANK(КАГ!H12),"",КАГ!H12)</f>
        <v/>
      </c>
    </row>
    <row r="17" spans="1:8" ht="16.5" thickTop="1">
      <c r="A17" s="14" t="s">
        <v>8</v>
      </c>
      <c r="B17" s="66">
        <f>КАГ!B12</f>
        <v>13991</v>
      </c>
      <c r="C17"/>
      <c r="D17" s="94" t="s">
        <v>183</v>
      </c>
      <c r="E17" s="92"/>
      <c r="F17" s="92"/>
      <c r="G17" s="79" t="str">
        <f>IF(ISBLANK(КАГ!G13),"",КАГ!G13)</f>
        <v/>
      </c>
      <c r="H17" s="90" t="str">
        <f>IF(ISBLANK(КАГ!H13),"",КАГ!H13)</f>
        <v/>
      </c>
    </row>
    <row r="18" spans="1:8" ht="15.75">
      <c r="A18" s="14" t="s">
        <v>10</v>
      </c>
      <c r="B18" s="29">
        <f>КАГ!B13</f>
        <v>86</v>
      </c>
      <c r="C18"/>
      <c r="D18"/>
      <c r="E18"/>
      <c r="F18"/>
      <c r="G18"/>
      <c r="H18" s="38"/>
    </row>
    <row r="19" spans="1:8" ht="14.45" customHeight="1">
      <c r="A19" s="14" t="s">
        <v>12</v>
      </c>
      <c r="B19" s="67">
        <f>КАГ!B14</f>
        <v>9316</v>
      </c>
      <c r="C19" s="68"/>
      <c r="D19" s="68"/>
      <c r="E19" s="68"/>
      <c r="F19" s="68"/>
      <c r="G19" s="163" t="s">
        <v>395</v>
      </c>
      <c r="H19" s="178" t="str">
        <f>КАГ!H15</f>
        <v>9:00</v>
      </c>
    </row>
    <row r="20" spans="1:8" ht="14.45" customHeight="1">
      <c r="A20" s="14" t="s">
        <v>132</v>
      </c>
      <c r="B20" s="67">
        <f>КАГ!B15</f>
        <v>35</v>
      </c>
      <c r="C20" s="69"/>
      <c r="D20" s="69"/>
      <c r="E20" s="69"/>
      <c r="F20" s="69"/>
      <c r="G20" s="164" t="s">
        <v>397</v>
      </c>
      <c r="H20" s="179">
        <f>КАГ!H16</f>
        <v>3040</v>
      </c>
    </row>
    <row r="21" spans="1:8" ht="14.45" customHeight="1">
      <c r="A21" s="14" t="s">
        <v>106</v>
      </c>
      <c r="B21" s="66" t="str">
        <f>КАГ!B16</f>
        <v>ОКС БПST</v>
      </c>
      <c r="C21" s="69"/>
      <c r="D21"/>
      <c r="E21" s="70"/>
      <c r="F21" s="70"/>
      <c r="G21" s="165" t="s">
        <v>384</v>
      </c>
      <c r="H21" s="166">
        <f>КАГ!H17</f>
        <v>5.7759999999999998</v>
      </c>
    </row>
    <row r="22" spans="1:8" ht="14.45" customHeight="1">
      <c r="A22" s="56" t="str">
        <f>КАГ!G18</f>
        <v>Доступ:</v>
      </c>
      <c r="B22" s="76" t="str">
        <f>КАГ!H18</f>
        <v>лучевой</v>
      </c>
      <c r="C22" s="69"/>
      <c r="D22" s="69"/>
      <c r="E22" s="69"/>
      <c r="F22" s="69"/>
      <c r="G22" s="182" t="str">
        <f>IF(B21=[1]Вмешательства!F3,[1]Вмешательства!F19,"")</f>
        <v/>
      </c>
      <c r="H22" s="183" t="str">
        <f>IF($B$21=Вмешательства!F3,SUM(КАГ!B9+IF($C$16&lt;=10,0.00555555555555556,IF($C$16=11,0.00694444444444444,IF($C$16=12,0.00833333333333333,IF($C$16=13,0.00972222222222222,IF($C$16=14,0.0111111111111111,IF($C$16=15,0.0111111111111111,IF($C$16=16,0.0118055555555556,IF($C$16&gt;=17,0.0138888888888889))))))))),"")</f>
        <v/>
      </c>
    </row>
    <row r="23" spans="1:8" ht="14.45" customHeight="1">
      <c r="A23" s="64" t="s">
        <v>387</v>
      </c>
      <c r="B23" s="170" t="s">
        <v>386</v>
      </c>
      <c r="C23" s="160"/>
      <c r="D23" s="160"/>
      <c r="E23" s="160"/>
      <c r="F23" s="160"/>
      <c r="G23"/>
      <c r="H23" s="38"/>
    </row>
    <row r="24" spans="1:8" ht="14.45" customHeight="1">
      <c r="A24" s="181" t="s">
        <v>385</v>
      </c>
      <c r="B24" s="168"/>
      <c r="C24" s="168"/>
      <c r="D24" s="168"/>
      <c r="E24" s="168"/>
      <c r="F24" s="168"/>
      <c r="G24" s="168"/>
      <c r="H24" s="169"/>
    </row>
    <row r="25" spans="1:8" ht="14.45" customHeight="1">
      <c r="A25" s="251" t="s">
        <v>537</v>
      </c>
      <c r="B25" s="252"/>
      <c r="C25" s="252"/>
      <c r="D25" s="252"/>
      <c r="E25" s="252"/>
      <c r="F25" s="252"/>
      <c r="G25" s="252"/>
      <c r="H25" s="253"/>
    </row>
    <row r="26" spans="1:8" ht="14.45" customHeight="1">
      <c r="A26" s="254"/>
      <c r="B26" s="252"/>
      <c r="C26" s="252"/>
      <c r="D26" s="252"/>
      <c r="E26" s="252"/>
      <c r="F26" s="252"/>
      <c r="G26" s="252"/>
      <c r="H26" s="253"/>
    </row>
    <row r="27" spans="1:8" ht="14.45" customHeight="1">
      <c r="A27" s="254"/>
      <c r="B27" s="252"/>
      <c r="C27" s="252"/>
      <c r="D27" s="252"/>
      <c r="E27" s="252"/>
      <c r="F27" s="252"/>
      <c r="G27" s="252"/>
      <c r="H27" s="253"/>
    </row>
    <row r="28" spans="1:8" ht="14.45" customHeight="1">
      <c r="A28" s="254"/>
      <c r="B28" s="252"/>
      <c r="C28" s="252"/>
      <c r="D28" s="252"/>
      <c r="E28" s="252"/>
      <c r="F28" s="252"/>
      <c r="G28" s="252"/>
      <c r="H28" s="253"/>
    </row>
    <row r="29" spans="1:8" ht="14.45" customHeight="1">
      <c r="A29" s="254"/>
      <c r="B29" s="252"/>
      <c r="C29" s="252"/>
      <c r="D29" s="252"/>
      <c r="E29" s="252"/>
      <c r="F29" s="252"/>
      <c r="G29" s="252"/>
      <c r="H29" s="253"/>
    </row>
    <row r="30" spans="1:8" ht="14.45" customHeight="1">
      <c r="A30" s="254"/>
      <c r="B30" s="252"/>
      <c r="C30" s="252"/>
      <c r="D30" s="252"/>
      <c r="E30" s="252"/>
      <c r="F30" s="252"/>
      <c r="G30" s="252"/>
      <c r="H30" s="253"/>
    </row>
    <row r="31" spans="1:8" ht="14.45" customHeight="1">
      <c r="A31" s="254"/>
      <c r="B31" s="252"/>
      <c r="C31" s="252"/>
      <c r="D31" s="252"/>
      <c r="E31" s="252"/>
      <c r="F31" s="252"/>
      <c r="G31" s="252"/>
      <c r="H31" s="253"/>
    </row>
    <row r="32" spans="1:8" ht="14.45" customHeight="1">
      <c r="A32" s="254"/>
      <c r="B32" s="252"/>
      <c r="C32" s="252"/>
      <c r="D32" s="252"/>
      <c r="E32" s="252"/>
      <c r="F32" s="252"/>
      <c r="G32" s="252"/>
      <c r="H32" s="253"/>
    </row>
    <row r="33" spans="1:12" ht="14.45" customHeight="1">
      <c r="A33" s="254"/>
      <c r="B33" s="252"/>
      <c r="C33" s="252"/>
      <c r="D33" s="252"/>
      <c r="E33" s="252"/>
      <c r="F33" s="252"/>
      <c r="G33" s="252"/>
      <c r="H33" s="253"/>
    </row>
    <row r="34" spans="1:12" ht="14.45" customHeight="1">
      <c r="A34" s="254"/>
      <c r="B34" s="252"/>
      <c r="C34" s="252"/>
      <c r="D34" s="252"/>
      <c r="E34" s="252"/>
      <c r="F34" s="252"/>
      <c r="G34" s="252"/>
      <c r="H34" s="253"/>
    </row>
    <row r="35" spans="1:12" ht="14.45" customHeight="1">
      <c r="A35" s="254"/>
      <c r="B35" s="252"/>
      <c r="C35" s="252"/>
      <c r="D35" s="252"/>
      <c r="E35" s="252"/>
      <c r="F35" s="252"/>
      <c r="G35" s="252"/>
      <c r="H35" s="253"/>
    </row>
    <row r="36" spans="1:12" ht="14.45" customHeight="1">
      <c r="A36" s="254"/>
      <c r="B36" s="252"/>
      <c r="C36" s="252"/>
      <c r="D36" s="252"/>
      <c r="E36" s="252"/>
      <c r="F36" s="252"/>
      <c r="G36" s="252"/>
      <c r="H36" s="253"/>
    </row>
    <row r="37" spans="1:12" ht="14.45" customHeight="1">
      <c r="A37" s="254"/>
      <c r="B37" s="252"/>
      <c r="C37" s="252"/>
      <c r="D37" s="252"/>
      <c r="E37" s="252"/>
      <c r="F37" s="252"/>
      <c r="G37" s="252"/>
      <c r="H37" s="253"/>
    </row>
    <row r="38" spans="1:12" ht="14.45" customHeight="1">
      <c r="A38" s="175" t="s">
        <v>391</v>
      </c>
      <c r="B38" s="173"/>
      <c r="C38" s="174"/>
      <c r="D38" s="174"/>
      <c r="E38" s="184" t="str">
        <f>IF(A6=Вмешательства!D4,Вмешательства!V16,IF(ЧКВ!A6=Вмешательства!D36,Вмешательства!V16,"-----"))</f>
        <v>СТЕНТ/Ы</v>
      </c>
      <c r="F38" s="174"/>
      <c r="G38" s="177"/>
      <c r="H38"/>
    </row>
    <row r="39" spans="1:12" ht="15.75">
      <c r="A39" s="171" t="s">
        <v>388</v>
      </c>
      <c r="B39" s="69" t="s">
        <v>390</v>
      </c>
      <c r="C39" s="120"/>
      <c r="D39" s="121" t="s">
        <v>186</v>
      </c>
      <c r="E39" s="71"/>
      <c r="F39" s="71"/>
      <c r="G39" s="71"/>
      <c r="H39" s="72"/>
    </row>
    <row r="40" spans="1:12" ht="14.45" customHeight="1">
      <c r="A40" s="172" t="s">
        <v>389</v>
      </c>
      <c r="B40" s="176" t="s">
        <v>518</v>
      </c>
      <c r="C40" s="119"/>
      <c r="D40" s="248" t="s">
        <v>526</v>
      </c>
      <c r="E40" s="249"/>
      <c r="F40" s="249"/>
      <c r="G40" s="249"/>
      <c r="H40" s="250"/>
    </row>
    <row r="41" spans="1:12" ht="14.45" customHeight="1">
      <c r="A41" s="31"/>
      <c r="B41" s="27"/>
      <c r="C41" s="119"/>
      <c r="D41" s="249"/>
      <c r="E41" s="249"/>
      <c r="F41" s="249"/>
      <c r="G41" s="249"/>
      <c r="H41" s="250"/>
    </row>
    <row r="42" spans="1:12" ht="14.45" customHeight="1">
      <c r="A42" s="31"/>
      <c r="B42" s="27"/>
      <c r="C42" s="119"/>
      <c r="D42" s="249"/>
      <c r="E42" s="249"/>
      <c r="F42" s="249"/>
      <c r="G42" s="249"/>
      <c r="H42" s="250"/>
    </row>
    <row r="43" spans="1:12" ht="14.45" customHeight="1">
      <c r="A43" s="31"/>
      <c r="B43" s="27"/>
      <c r="C43" s="119"/>
      <c r="D43" s="249"/>
      <c r="E43" s="249"/>
      <c r="F43" s="249"/>
      <c r="G43" s="249"/>
      <c r="H43" s="250"/>
    </row>
    <row r="44" spans="1:12" ht="14.45" customHeight="1">
      <c r="A44" s="31"/>
      <c r="B44" s="27"/>
      <c r="C44" s="119"/>
      <c r="D44" s="249"/>
      <c r="E44" s="249"/>
      <c r="F44" s="249"/>
      <c r="G44" s="249"/>
      <c r="H44" s="250"/>
      <c r="L44" s="158"/>
    </row>
    <row r="45" spans="1:12" ht="14.45" customHeight="1">
      <c r="A45" s="31"/>
      <c r="B45" s="27"/>
      <c r="C45" s="119"/>
      <c r="D45" s="249"/>
      <c r="E45" s="249"/>
      <c r="F45" s="249"/>
      <c r="G45" s="249"/>
      <c r="H45" s="250"/>
    </row>
    <row r="46" spans="1:12" ht="14.45" customHeight="1">
      <c r="A46" s="31"/>
      <c r="B46" s="27"/>
      <c r="C46" s="119"/>
      <c r="D46" s="249"/>
      <c r="E46" s="249"/>
      <c r="F46" s="249"/>
      <c r="G46" s="249"/>
      <c r="H46" s="250"/>
    </row>
    <row r="47" spans="1:12" ht="14.45" customHeight="1">
      <c r="A47" s="37"/>
      <c r="B47"/>
      <c r="C47" s="119"/>
      <c r="D47" s="249"/>
      <c r="E47" s="249"/>
      <c r="F47" s="249"/>
      <c r="G47" s="249"/>
      <c r="H47" s="250"/>
    </row>
    <row r="48" spans="1:12" ht="14.45" customHeight="1">
      <c r="A48" s="37"/>
      <c r="B48"/>
      <c r="C48" s="119"/>
      <c r="D48" s="249"/>
      <c r="E48" s="249"/>
      <c r="F48" s="249"/>
      <c r="G48" s="249"/>
      <c r="H48" s="250"/>
    </row>
    <row r="49" spans="1:8" ht="14.45" customHeight="1">
      <c r="A49" s="37"/>
      <c r="B49"/>
      <c r="C49" s="119"/>
      <c r="D49" s="249"/>
      <c r="E49" s="249"/>
      <c r="F49" s="249"/>
      <c r="G49" s="249"/>
      <c r="H49" s="250"/>
    </row>
    <row r="50" spans="1:8">
      <c r="A50" s="61" t="s">
        <v>203</v>
      </c>
      <c r="B50" s="62" t="s">
        <v>531</v>
      </c>
      <c r="C50"/>
      <c r="D50"/>
      <c r="E50"/>
      <c r="F50"/>
      <c r="G50"/>
      <c r="H50" s="38"/>
    </row>
    <row r="51" spans="1:8">
      <c r="A51" s="64" t="s">
        <v>205</v>
      </c>
      <c r="B51" s="65" t="s">
        <v>524</v>
      </c>
      <c r="C51"/>
      <c r="D51"/>
      <c r="E51"/>
      <c r="F51"/>
      <c r="G51" s="73" t="str">
        <f>$G$13</f>
        <v>Щербаков А.С.</v>
      </c>
      <c r="H51" s="63"/>
    </row>
    <row r="52" spans="1:8">
      <c r="A52" s="234" t="s">
        <v>368</v>
      </c>
      <c r="B52" s="235"/>
      <c r="C52" s="235"/>
      <c r="D52" s="235"/>
      <c r="E52" s="235"/>
      <c r="F52" s="236"/>
      <c r="G52"/>
      <c r="H52" s="38"/>
    </row>
    <row r="53" spans="1:8" ht="15" customHeight="1">
      <c r="A53" s="237"/>
      <c r="B53" s="238"/>
      <c r="C53" s="238"/>
      <c r="D53" s="238"/>
      <c r="E53" s="238"/>
      <c r="F53" s="239"/>
      <c r="G53" s="73" t="str">
        <f>IF(ISBLANK(H13),"",H13)</f>
        <v/>
      </c>
      <c r="H53" s="63"/>
    </row>
    <row r="54" spans="1:8">
      <c r="A54" s="240"/>
      <c r="B54" s="241"/>
      <c r="C54" s="241"/>
      <c r="D54" s="241"/>
      <c r="E54" s="241"/>
      <c r="F54" s="242"/>
      <c r="G54" s="30"/>
      <c r="H54" s="40"/>
    </row>
    <row r="55" spans="1:8">
      <c r="A55"/>
      <c r="B55"/>
      <c r="C55"/>
      <c r="D55"/>
      <c r="E55"/>
      <c r="F55"/>
      <c r="G55"/>
      <c r="H55"/>
    </row>
    <row r="56" spans="1:8"/>
    <row r="57" spans="1:8"/>
    <row r="58" spans="1:8"/>
    <row r="59" spans="1:8"/>
    <row r="60" spans="1:8" ht="18" hidden="1" customHeight="1"/>
  </sheetData>
  <sheetProtection sheet="1" objects="1" scenarios="1"/>
  <mergeCells count="7">
    <mergeCell ref="A52:F54"/>
    <mergeCell ref="C8:E8"/>
    <mergeCell ref="A6:H7"/>
    <mergeCell ref="C9:E9"/>
    <mergeCell ref="C10:E10"/>
    <mergeCell ref="D40:H49"/>
    <mergeCell ref="A25:H37"/>
  </mergeCells>
  <phoneticPr fontId="15" type="noConversion"/>
  <dataValidations count="10">
    <dataValidation type="list" allowBlank="1" showInputMessage="1" showErrorMessage="1" sqref="B50">
      <formula1>"50 ml,100 ml,150 ml,200 ml,250 ml,300 ml,350 ml,400 ml,450 ml,500 ml,"</formula1>
    </dataValidation>
    <dataValidation type="list" allowBlank="1" showInputMessage="1" showErrorMessage="1" sqref="B51">
      <formula1>"Извлечён,Оставлен,М/О ушито Angio-Seal™"</formula1>
    </dataValidation>
    <dataValidation type="list" allowBlank="1" showInputMessage="1" showErrorMessage="1" sqref="A50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G9:G10">
      <formula1>"DES,BMS"</formula1>
    </dataValidation>
    <dataValidation type="list" allowBlank="1" showInputMessage="1" showErrorMessage="1" sqref="B23">
      <formula1>"м/а,общий"</formula1>
    </dataValidation>
    <dataValidation type="list" allowBlank="1" showInputMessage="1" showErrorMessage="1" sqref="B39">
      <mc:AlternateContent xmlns:x12ac="http://schemas.microsoft.com/office/spreadsheetml/2011/1/ac" xmlns:mc="http://schemas.openxmlformats.org/markup-compatibility/2006">
        <mc:Choice Requires="x12ac">
          <x12ac:list>НЕТ,"ДА, см описание ",</x12ac:list>
        </mc:Choice>
        <mc:Fallback>
          <formula1>"НЕТ,ДА, см описание ,"</formula1>
        </mc:Fallback>
      </mc:AlternateContent>
    </dataValidation>
    <dataValidation type="list" allowBlank="1" showInputMessage="1" showErrorMessage="1" sqref="B40">
      <formula1>"50 ml,100 ml,150 ml,200 ml,250 ml,300 ml,350 ml,400 ml,30 ml,20 ml,"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Вмешательства!$F$23:$F$24</xm:f>
          </x14:formula1>
          <xm:sqref>H8</xm:sqref>
        </x14:dataValidation>
        <x14:dataValidation type="list" allowBlank="1" showInputMessage="1" showErrorMessage="1">
          <x14:formula1>
            <xm:f>Вмешательства!$H$2:$T$2</xm:f>
          </x14:formula1>
          <xm:sqref>F8:F10</xm:sqref>
        </x14:dataValidation>
        <x14:dataValidation type="list" allowBlank="1" showInputMessage="1" showErrorMessage="1">
          <x14:formula1>
            <xm:f>'Расходный материал'!$AN$2:$AN$3</xm:f>
          </x14:formula1>
          <xm:sqref>G8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E9"/>
  <sheetViews>
    <sheetView showGridLines="0" zoomScaleNormal="100" workbookViewId="0">
      <selection activeCell="A3" sqref="A3"/>
    </sheetView>
  </sheetViews>
  <sheetFormatPr defaultColWidth="0" defaultRowHeight="15" zeroHeight="1"/>
  <cols>
    <col min="1" max="1" width="68.85546875" customWidth="1"/>
    <col min="2" max="5" width="9.140625" style="207" customWidth="1"/>
    <col min="6" max="16384" width="9.140625" hidden="1"/>
  </cols>
  <sheetData>
    <row r="1" spans="1:1">
      <c r="A1" s="3" t="str">
        <f>КАГ!A6</f>
        <v>КОРОНАРОГРАФИЯ</v>
      </c>
    </row>
    <row r="2" spans="1:1"/>
    <row r="3" spans="1:1" ht="354" customHeight="1">
      <c r="A3" s="208" t="str">
        <f>КАГ!A18&amp;"   "&amp;КАГ!B18&amp;CHAR(10)&amp;CHAR(10)&amp;КАГ!A20&amp;"   "&amp;КАГ!B20&amp;CHAR(10)&amp;CHAR(10)&amp;КАГ!A22&amp;"   "&amp;КАГ!B22&amp;CHAR(10)&amp;CHAR(10)&amp;КАГ!A27&amp;"   "&amp;КАГ!B27&amp;CHAR(10)&amp;CHAR(10)&amp;КАГ!A32&amp;"   "&amp;КАГ!B32</f>
        <v>Тип:   Правый
Ствол ЛКА:   без стенозов
Бассейн ПНА:   субтотальный стеноз проксимального сегмента, рестеноз стента проксимального сегмента 30%, стеноз среднего сегмента 70%, кровоток TIMI II
Бассейн  ОА:   стеноз проксимального сегмента до 50%, неровность контуров ВТК, кровоток TIMI III
Бассейн ПКА:   пролонгированный стеноз среднего сегмента менее 50%, кровоток TIMI III</v>
      </c>
    </row>
    <row r="4" spans="1:1">
      <c r="A4" s="207"/>
    </row>
    <row r="5" spans="1:1">
      <c r="A5" s="207"/>
    </row>
    <row r="6" spans="1:1">
      <c r="A6" s="207"/>
    </row>
    <row r="7" spans="1:1">
      <c r="A7" s="207"/>
    </row>
    <row r="8" spans="1:1">
      <c r="A8" s="207"/>
    </row>
    <row r="9" spans="1:1">
      <c r="A9" s="207"/>
    </row>
  </sheetData>
  <sheetProtection algorithmName="SHA-512" hashValue="rItlFI2sr9MBbizk9S363YSH5LG3rpss7g6WljbrUU5/IpEGnZJAbbFZO1mioNsHSl5GujOQ/fdgOkwY7YRPIA==" saltValue="jH6Se7e9WOAIDe8Wq9chFg==" spinCount="100000" sheet="1" objects="1" scenarios="1"/>
  <printOptions horizontalCentered="1"/>
  <pageMargins left="0.70866141732283472" right="0.70866141732283472" top="0.74803149606299213" bottom="0.74803149606299213" header="0.31496062992125984" footer="0.31496062992125984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"/>
  <sheetViews>
    <sheetView showGridLines="0" showWhiteSpace="0" zoomScale="90" zoomScaleNormal="90" zoomScaleSheetLayoutView="100" zoomScalePageLayoutView="80" workbookViewId="0">
      <selection activeCell="B19" sqref="B19"/>
    </sheetView>
  </sheetViews>
  <sheetFormatPr defaultColWidth="0" defaultRowHeight="15" zeroHeight="1"/>
  <cols>
    <col min="1" max="1" width="18.7109375" style="211" customWidth="1"/>
    <col min="2" max="2" width="45.7109375" style="211" customWidth="1"/>
    <col min="3" max="3" width="15.7109375" style="211" customWidth="1"/>
    <col min="4" max="4" width="20.7109375" style="211" customWidth="1"/>
    <col min="5" max="5" width="7.7109375" style="211" bestFit="1" customWidth="1"/>
    <col min="6" max="6" width="10.7109375" style="211" bestFit="1" customWidth="1"/>
    <col min="7" max="8" width="10.7109375" style="211" hidden="1" customWidth="1"/>
    <col min="9" max="13" width="11.7109375" style="211" hidden="1" customWidth="1"/>
    <col min="14" max="16384" width="9.140625" style="211" hidden="1"/>
  </cols>
  <sheetData>
    <row r="1" spans="1:4">
      <c r="A1" s="26"/>
      <c r="B1" s="111"/>
      <c r="C1" s="111"/>
      <c r="D1" s="112"/>
    </row>
    <row r="2" spans="1:4" ht="19.899999999999999" customHeight="1">
      <c r="A2" s="95" t="s">
        <v>98</v>
      </c>
      <c r="B2" s="96">
        <f>$D$10</f>
        <v>45751</v>
      </c>
      <c r="C2" s="151" t="str">
        <f>IF(ЧКВ!A6=Вмешательства!D4,Вмешательства!F20,IF(ЧКВ!A6=Вмешательства!D36,Вмешательства!F20,Вмешательства!F22))</f>
        <v>ВМП 1</v>
      </c>
      <c r="D2" s="97" t="s">
        <v>99</v>
      </c>
    </row>
    <row r="3" spans="1:4" ht="20.45" customHeight="1">
      <c r="A3" s="98" t="s">
        <v>97</v>
      </c>
      <c r="B3" s="99"/>
      <c r="C3"/>
      <c r="D3" s="38"/>
    </row>
    <row r="4" spans="1:4" ht="16.5" thickBot="1">
      <c r="A4" s="146" t="s">
        <v>194</v>
      </c>
      <c r="B4" s="147" t="s">
        <v>105</v>
      </c>
      <c r="C4" s="148" t="s">
        <v>15</v>
      </c>
      <c r="D4" s="202" t="str">
        <f>КАГ!$B$11</f>
        <v>Пеньковая К.Н.</v>
      </c>
    </row>
    <row r="5" spans="1:4" ht="15.75" thickTop="1">
      <c r="A5" s="131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32" t="str">
        <f>IF(ISBLANK(КАГ!A6),"",КАГ!A6)</f>
        <v>КОРОНАРОГРАФИЯ</v>
      </c>
      <c r="C5" s="130" t="s">
        <v>8</v>
      </c>
      <c r="D5" s="101">
        <f>КАГ!$B$12</f>
        <v>13991</v>
      </c>
    </row>
    <row r="6" spans="1:4" ht="30">
      <c r="A6" s="131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33" t="str">
        <f>ЧКВ!A6</f>
        <v xml:space="preserve">Транслюминальная баллонная ангиопластика и стентирование коронарных артерий. </v>
      </c>
      <c r="C6" s="130" t="s">
        <v>10</v>
      </c>
      <c r="D6" s="102">
        <f>DATEDIF(D5,D10,"y")</f>
        <v>86</v>
      </c>
    </row>
    <row r="7" spans="1:4">
      <c r="A7" s="37"/>
      <c r="B7"/>
      <c r="C7" s="100" t="s">
        <v>12</v>
      </c>
      <c r="D7" s="102">
        <f>КАГ!$B$14</f>
        <v>9316</v>
      </c>
    </row>
    <row r="8" spans="1:4">
      <c r="A8" s="192" t="str">
        <f>ЧКВ!$A$9</f>
        <v>Код модели: 21167</v>
      </c>
      <c r="B8" s="103"/>
      <c r="C8" s="100" t="s">
        <v>132</v>
      </c>
      <c r="D8" s="102">
        <f>КАГ!$B$15</f>
        <v>35</v>
      </c>
    </row>
    <row r="9" spans="1:4">
      <c r="A9" s="192" t="str">
        <f>ЧКВ!$A$10</f>
        <v>Код метода: 47</v>
      </c>
      <c r="B9"/>
      <c r="C9" s="104" t="s">
        <v>106</v>
      </c>
      <c r="D9" s="102" t="str">
        <f>КАГ!$B$16</f>
        <v>ОКС БПST</v>
      </c>
    </row>
    <row r="10" spans="1:4">
      <c r="A10" s="193"/>
      <c r="B10" s="30"/>
      <c r="C10" s="149" t="s">
        <v>13</v>
      </c>
      <c r="D10" s="150">
        <f>КАГ!$B$8</f>
        <v>45751</v>
      </c>
    </row>
    <row r="11" spans="1:4">
      <c r="A11" s="26"/>
      <c r="B11" s="111"/>
      <c r="C11" s="111"/>
      <c r="D11" s="112"/>
    </row>
    <row r="12" spans="1:4" ht="18.75" customHeight="1">
      <c r="A12" s="135" t="s">
        <v>333</v>
      </c>
      <c r="B12" s="136" t="s">
        <v>0</v>
      </c>
      <c r="C12" s="136" t="s">
        <v>14</v>
      </c>
      <c r="D12" s="137" t="s">
        <v>100</v>
      </c>
    </row>
    <row r="13" spans="1:4" ht="27.75" customHeight="1">
      <c r="A13" s="138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52" t="s">
        <v>304</v>
      </c>
      <c r="C13" s="185"/>
      <c r="D13" s="139">
        <v>1</v>
      </c>
    </row>
    <row r="14" spans="1:4" ht="27.75" customHeight="1">
      <c r="A14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53" t="s">
        <v>323</v>
      </c>
      <c r="C14" s="134"/>
      <c r="D14" s="139">
        <v>1</v>
      </c>
    </row>
    <row r="15" spans="1:4" ht="27.75" customHeight="1">
      <c r="A15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5" s="153" t="s">
        <v>515</v>
      </c>
      <c r="C15" s="134">
        <v>0.7</v>
      </c>
      <c r="D15" s="139">
        <v>1</v>
      </c>
    </row>
    <row r="16" spans="1:4" ht="27.75" customHeight="1">
      <c r="A16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6" s="153" t="s">
        <v>528</v>
      </c>
      <c r="C16" s="134" t="s">
        <v>406</v>
      </c>
      <c r="D16" s="139">
        <v>1</v>
      </c>
    </row>
    <row r="17" spans="1:4" ht="27.75" customHeight="1">
      <c r="A17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7" s="153" t="s">
        <v>321</v>
      </c>
      <c r="C17" s="180" t="s">
        <v>415</v>
      </c>
      <c r="D17" s="139">
        <v>1</v>
      </c>
    </row>
    <row r="18" spans="1:4" ht="27.75" customHeight="1">
      <c r="A18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8" s="153"/>
      <c r="C18" s="134"/>
      <c r="D18" s="139"/>
    </row>
    <row r="19" spans="1:4" ht="27.75" customHeight="1">
      <c r="A19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9" s="153"/>
      <c r="C19" s="180"/>
      <c r="D19" s="139"/>
    </row>
    <row r="20" spans="1:4" ht="27.75" customHeight="1">
      <c r="A20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53"/>
      <c r="C20" s="153"/>
      <c r="D20" s="139"/>
    </row>
    <row r="21" spans="1:4" ht="27.75" customHeight="1">
      <c r="A21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53"/>
      <c r="C21" s="134"/>
      <c r="D21" s="139"/>
    </row>
    <row r="22" spans="1:4" ht="27.75" customHeight="1">
      <c r="A22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53"/>
      <c r="C22" s="134"/>
      <c r="D22" s="141"/>
    </row>
    <row r="23" spans="1:4" ht="27.75" customHeight="1">
      <c r="A23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53"/>
      <c r="C23" s="134"/>
      <c r="D23" s="141"/>
    </row>
    <row r="24" spans="1:4" ht="27.75" customHeight="1">
      <c r="A24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53"/>
      <c r="C24" s="134"/>
      <c r="D24" s="141"/>
    </row>
    <row r="25" spans="1:4" ht="27.75" customHeight="1">
      <c r="A25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54"/>
      <c r="C25" s="144"/>
      <c r="D25" s="145"/>
    </row>
    <row r="26" spans="1:4" ht="14.45" customHeight="1">
      <c r="A26" s="10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07"/>
      <c r="C26" s="108"/>
      <c r="D26" s="106"/>
    </row>
    <row r="27" spans="1:4" ht="14.45" customHeight="1">
      <c r="A27" s="10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07"/>
      <c r="C27" s="108"/>
      <c r="D27" s="106"/>
    </row>
    <row r="28" spans="1:4" ht="14.45" customHeight="1">
      <c r="A28" s="37" t="s">
        <v>11</v>
      </c>
      <c r="B28" t="s">
        <v>11</v>
      </c>
      <c r="C28"/>
      <c r="D28" s="38"/>
    </row>
    <row r="29" spans="1:4" ht="14.45" customHeight="1">
      <c r="A29" s="37" t="s">
        <v>11</v>
      </c>
      <c r="B29" t="s">
        <v>11</v>
      </c>
      <c r="C29"/>
      <c r="D29" s="38"/>
    </row>
    <row r="30" spans="1:4" ht="14.45" customHeight="1">
      <c r="A30" s="37" t="s">
        <v>11</v>
      </c>
      <c r="B30" t="s">
        <v>11</v>
      </c>
      <c r="C30"/>
      <c r="D30" s="38"/>
    </row>
    <row r="31" spans="1:4" ht="14.45" customHeight="1">
      <c r="A31" s="37" t="s">
        <v>11</v>
      </c>
      <c r="B31" t="s">
        <v>11</v>
      </c>
      <c r="C31"/>
      <c r="D31" s="38"/>
    </row>
    <row r="32" spans="1:4" ht="14.45" customHeight="1">
      <c r="A32" s="37" t="s">
        <v>11</v>
      </c>
      <c r="B32"/>
      <c r="C32"/>
      <c r="D32" s="38"/>
    </row>
    <row r="33" spans="1:4" ht="14.45" customHeight="1">
      <c r="A33" s="37"/>
      <c r="B33"/>
      <c r="C33"/>
      <c r="D33" s="38"/>
    </row>
    <row r="34" spans="1:4" ht="14.45" customHeight="1">
      <c r="A34" s="37"/>
      <c r="B34"/>
      <c r="C34"/>
      <c r="D34" s="38"/>
    </row>
    <row r="35" spans="1:4" ht="19.899999999999999" customHeight="1">
      <c r="A35" s="37"/>
      <c r="B35" s="109" t="s">
        <v>533</v>
      </c>
      <c r="C35" s="12"/>
      <c r="D35" s="38"/>
    </row>
    <row r="36" spans="1:4" ht="19.899999999999999" customHeight="1">
      <c r="A36" s="37"/>
      <c r="B36"/>
      <c r="C36"/>
      <c r="D36" s="38"/>
    </row>
    <row r="37" spans="1:4" ht="19.899999999999999" customHeight="1">
      <c r="A37" s="37"/>
      <c r="B37" s="116" t="str">
        <f>"Оператор:"&amp;" "&amp;ЧКВ!$G$13</f>
        <v>Оператор: Щербаков А.С.</v>
      </c>
      <c r="C37" s="12"/>
      <c r="D37" s="38"/>
    </row>
    <row r="38" spans="1:4" ht="19.899999999999999" customHeight="1">
      <c r="A38" s="37"/>
      <c r="B38"/>
      <c r="C38"/>
      <c r="D38" s="38"/>
    </row>
    <row r="39" spans="1:4" ht="19.899999999999999" customHeight="1">
      <c r="A39" s="37"/>
      <c r="B39" s="110" t="s">
        <v>512</v>
      </c>
      <c r="C39" s="113"/>
      <c r="D39" s="38"/>
    </row>
    <row r="40" spans="1:4" ht="19.899999999999999" customHeight="1">
      <c r="A40" s="39"/>
      <c r="B40" s="30"/>
      <c r="C40" s="30"/>
      <c r="D40" s="40"/>
    </row>
    <row r="41" spans="1:4" ht="14.45" customHeight="1">
      <c r="C41" s="212"/>
    </row>
    <row r="42" spans="1:4"/>
    <row r="43" spans="1:4"/>
    <row r="44" spans="1:4"/>
    <row r="45" spans="1:4"/>
    <row r="46" spans="1:4"/>
  </sheetData>
  <sheetProtection formatCells="0" formatColumns="0" formatRows="0" sort="0" autoFilter="0"/>
  <phoneticPr fontId="15" type="noConversion"/>
  <dataValidations count="13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19 C21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6:B17">
      <formula1>ВЫП.Список_Расходка_7</formula1>
    </dataValidation>
    <dataValidation type="list" allowBlank="1" showInputMessage="1" sqref="B18:B21 C20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scale="99" orientation="portrait"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zoomScale="90" zoomScaleNormal="90" workbookViewId="0">
      <pane ySplit="1" topLeftCell="A2" activePane="bottomLeft" state="frozen"/>
      <selection pane="bottomLeft" activeCell="F8" sqref="F8"/>
    </sheetView>
  </sheetViews>
  <sheetFormatPr defaultRowHeight="15" outlineLevelCol="1"/>
  <cols>
    <col min="1" max="1" width="5" customWidth="1"/>
    <col min="2" max="2" width="13.28515625" hidden="1" customWidth="1"/>
    <col min="3" max="3" width="25" customWidth="1"/>
    <col min="4" max="4" width="56.7109375" customWidth="1"/>
    <col min="6" max="6" width="17.7109375" bestFit="1" customWidth="1"/>
    <col min="7" max="7" width="12.28515625" bestFit="1" customWidth="1"/>
    <col min="8" max="20" width="6.7109375" hidden="1" customWidth="1" outlineLevel="1"/>
    <col min="21" max="21" width="6.7109375" bestFit="1" customWidth="1" collapsed="1"/>
    <col min="22" max="22" width="44.140625" bestFit="1" customWidth="1"/>
    <col min="23" max="23" width="7.7109375" bestFit="1" customWidth="1"/>
    <col min="25" max="25" width="15.28515625" bestFit="1" customWidth="1"/>
  </cols>
  <sheetData>
    <row r="1" spans="1:23" ht="24.6" customHeight="1">
      <c r="A1" s="6" t="s">
        <v>2</v>
      </c>
      <c r="B1" s="6" t="s">
        <v>7</v>
      </c>
      <c r="C1" s="7" t="s">
        <v>16</v>
      </c>
      <c r="D1" s="9" t="s">
        <v>17</v>
      </c>
      <c r="V1" t="s">
        <v>226</v>
      </c>
    </row>
    <row r="2" spans="1:23">
      <c r="A2" s="8">
        <v>1</v>
      </c>
      <c r="B2" s="2" t="s">
        <v>9</v>
      </c>
      <c r="C2" s="8" t="s">
        <v>227</v>
      </c>
      <c r="D2" s="5" t="s">
        <v>212</v>
      </c>
      <c r="F2" t="s">
        <v>106</v>
      </c>
      <c r="G2" s="3" t="s">
        <v>482</v>
      </c>
      <c r="H2" s="3">
        <v>1</v>
      </c>
      <c r="I2" s="3">
        <v>2</v>
      </c>
      <c r="J2" s="3">
        <v>3</v>
      </c>
      <c r="K2" s="3">
        <v>4</v>
      </c>
      <c r="L2" s="3">
        <v>5</v>
      </c>
      <c r="M2" s="3">
        <v>6</v>
      </c>
      <c r="N2" s="3">
        <v>7</v>
      </c>
      <c r="O2" s="3">
        <v>8</v>
      </c>
      <c r="P2" s="3">
        <v>9</v>
      </c>
      <c r="Q2" s="3">
        <v>10</v>
      </c>
      <c r="R2" s="3">
        <v>11</v>
      </c>
      <c r="S2" s="3">
        <v>12</v>
      </c>
      <c r="T2" s="3">
        <v>13</v>
      </c>
      <c r="V2" t="s">
        <v>216</v>
      </c>
    </row>
    <row r="3" spans="1:23">
      <c r="A3" s="8">
        <v>2</v>
      </c>
      <c r="B3" s="2" t="s">
        <v>18</v>
      </c>
      <c r="C3" s="8" t="s">
        <v>85</v>
      </c>
      <c r="D3" s="5" t="s">
        <v>213</v>
      </c>
      <c r="F3" t="s">
        <v>481</v>
      </c>
      <c r="G3" s="3" t="s">
        <v>482</v>
      </c>
      <c r="H3" s="3">
        <v>21166</v>
      </c>
      <c r="I3" s="3">
        <v>21166</v>
      </c>
      <c r="J3" s="3">
        <v>21166</v>
      </c>
      <c r="K3" s="3">
        <v>21166</v>
      </c>
      <c r="L3" s="3">
        <v>21166</v>
      </c>
      <c r="M3" s="3">
        <v>21166</v>
      </c>
      <c r="N3" s="3">
        <v>21166</v>
      </c>
      <c r="O3" s="3">
        <v>21166</v>
      </c>
      <c r="P3" s="3">
        <v>21166</v>
      </c>
      <c r="Q3" s="3">
        <v>21166</v>
      </c>
      <c r="R3" s="3">
        <v>21166</v>
      </c>
      <c r="S3" s="3">
        <v>21166</v>
      </c>
      <c r="T3" s="3">
        <v>21166</v>
      </c>
      <c r="V3" t="s">
        <v>217</v>
      </c>
    </row>
    <row r="4" spans="1:23" ht="30">
      <c r="A4" s="8">
        <v>3</v>
      </c>
      <c r="B4" s="2" t="s">
        <v>38</v>
      </c>
      <c r="C4" s="8" t="s">
        <v>39</v>
      </c>
      <c r="D4" s="5" t="s">
        <v>207</v>
      </c>
      <c r="F4" t="s">
        <v>309</v>
      </c>
      <c r="G4" s="3" t="s">
        <v>482</v>
      </c>
      <c r="H4" s="3">
        <v>21167</v>
      </c>
      <c r="I4" s="3">
        <v>21167</v>
      </c>
      <c r="J4" s="3">
        <v>21167</v>
      </c>
      <c r="K4" s="3">
        <v>21167</v>
      </c>
      <c r="L4" s="3">
        <v>21167</v>
      </c>
      <c r="M4" s="3">
        <v>21167</v>
      </c>
      <c r="N4" s="3">
        <v>21167</v>
      </c>
      <c r="O4" s="3">
        <v>21167</v>
      </c>
      <c r="P4" s="3">
        <v>21167</v>
      </c>
      <c r="Q4" s="3">
        <v>21167</v>
      </c>
      <c r="R4" s="3">
        <v>21167</v>
      </c>
      <c r="S4" s="3">
        <v>21167</v>
      </c>
      <c r="T4" s="3">
        <v>21167</v>
      </c>
      <c r="V4" t="s">
        <v>218</v>
      </c>
    </row>
    <row r="5" spans="1:23" ht="30">
      <c r="A5" s="8">
        <v>4</v>
      </c>
      <c r="B5" s="2" t="s">
        <v>36</v>
      </c>
      <c r="C5" s="8" t="s">
        <v>37</v>
      </c>
      <c r="D5" s="5" t="s">
        <v>396</v>
      </c>
      <c r="F5" t="s">
        <v>130</v>
      </c>
      <c r="G5" s="3" t="s">
        <v>482</v>
      </c>
      <c r="H5" s="3">
        <v>22227</v>
      </c>
      <c r="I5" s="3">
        <v>22228</v>
      </c>
      <c r="J5" s="3">
        <v>22229</v>
      </c>
      <c r="K5" s="3">
        <v>22229</v>
      </c>
      <c r="L5" s="3">
        <v>22229</v>
      </c>
      <c r="M5" s="3">
        <v>22229</v>
      </c>
      <c r="N5" s="3">
        <v>22229</v>
      </c>
      <c r="O5" s="3">
        <v>22229</v>
      </c>
      <c r="P5" s="3">
        <v>22229</v>
      </c>
      <c r="Q5" s="3">
        <v>22229</v>
      </c>
      <c r="R5" s="3">
        <v>22229</v>
      </c>
      <c r="S5" s="3">
        <v>22229</v>
      </c>
      <c r="T5" s="3">
        <v>22229</v>
      </c>
      <c r="V5" t="s">
        <v>219</v>
      </c>
    </row>
    <row r="6" spans="1:23" ht="30">
      <c r="A6" s="8">
        <v>5</v>
      </c>
      <c r="B6" s="2"/>
      <c r="C6" s="8" t="s">
        <v>228</v>
      </c>
      <c r="D6" s="5" t="s">
        <v>131</v>
      </c>
      <c r="F6" t="s">
        <v>124</v>
      </c>
      <c r="G6" s="3" t="s">
        <v>482</v>
      </c>
      <c r="H6" s="3" t="e">
        <f>NA()</f>
        <v>#N/A</v>
      </c>
      <c r="I6" s="3" t="e">
        <f>NA()</f>
        <v>#N/A</v>
      </c>
      <c r="J6" s="3" t="e">
        <f>NA()</f>
        <v>#N/A</v>
      </c>
      <c r="K6" s="3" t="e">
        <f>NA()</f>
        <v>#N/A</v>
      </c>
      <c r="L6" s="3" t="e">
        <f>NA()</f>
        <v>#N/A</v>
      </c>
      <c r="M6" s="3" t="e">
        <f>NA()</f>
        <v>#N/A</v>
      </c>
      <c r="N6" s="3" t="e">
        <f>NA()</f>
        <v>#N/A</v>
      </c>
      <c r="O6" s="3" t="e">
        <f>NA()</f>
        <v>#N/A</v>
      </c>
      <c r="P6" s="3" t="e">
        <f>NA()</f>
        <v>#N/A</v>
      </c>
      <c r="Q6" s="3" t="e">
        <f>NA()</f>
        <v>#N/A</v>
      </c>
      <c r="R6" s="3" t="e">
        <f>NA()</f>
        <v>#N/A</v>
      </c>
      <c r="S6" s="3" t="e">
        <f>NA()</f>
        <v>#N/A</v>
      </c>
      <c r="T6" s="3" t="e">
        <f>NA()</f>
        <v>#N/A</v>
      </c>
      <c r="V6" t="s">
        <v>220</v>
      </c>
    </row>
    <row r="7" spans="1:23">
      <c r="A7" s="8">
        <v>6</v>
      </c>
      <c r="B7" s="2"/>
      <c r="C7" s="8" t="s">
        <v>80</v>
      </c>
      <c r="D7" s="5" t="s">
        <v>246</v>
      </c>
      <c r="F7" t="s">
        <v>126</v>
      </c>
      <c r="G7" s="3" t="s">
        <v>482</v>
      </c>
      <c r="H7" s="3" t="e">
        <f>NA()</f>
        <v>#N/A</v>
      </c>
      <c r="I7" s="3" t="e">
        <f>NA()</f>
        <v>#N/A</v>
      </c>
      <c r="J7" s="3" t="e">
        <f>NA()</f>
        <v>#N/A</v>
      </c>
      <c r="K7" s="3" t="e">
        <f>NA()</f>
        <v>#N/A</v>
      </c>
      <c r="L7" s="3" t="e">
        <f>NA()</f>
        <v>#N/A</v>
      </c>
      <c r="M7" s="3" t="e">
        <f>NA()</f>
        <v>#N/A</v>
      </c>
      <c r="N7" s="3" t="e">
        <f>NA()</f>
        <v>#N/A</v>
      </c>
      <c r="O7" s="3" t="e">
        <f>NA()</f>
        <v>#N/A</v>
      </c>
      <c r="P7" s="3" t="e">
        <f>NA()</f>
        <v>#N/A</v>
      </c>
      <c r="Q7" s="3" t="e">
        <f>NA()</f>
        <v>#N/A</v>
      </c>
      <c r="R7" s="3" t="e">
        <f>NA()</f>
        <v>#N/A</v>
      </c>
      <c r="S7" s="3" t="e">
        <f>NA()</f>
        <v>#N/A</v>
      </c>
      <c r="T7" s="3" t="e">
        <f>NA()</f>
        <v>#N/A</v>
      </c>
      <c r="V7" t="s">
        <v>221</v>
      </c>
    </row>
    <row r="8" spans="1:23">
      <c r="A8" s="8">
        <v>7</v>
      </c>
      <c r="B8" s="2" t="s">
        <v>35</v>
      </c>
      <c r="C8" s="8" t="s">
        <v>86</v>
      </c>
      <c r="D8" s="5" t="s">
        <v>87</v>
      </c>
      <c r="F8" t="s">
        <v>125</v>
      </c>
      <c r="G8" s="3" t="s">
        <v>482</v>
      </c>
      <c r="H8" s="3" t="e">
        <f>NA()</f>
        <v>#N/A</v>
      </c>
      <c r="I8" s="3" t="e">
        <f>NA()</f>
        <v>#N/A</v>
      </c>
      <c r="J8" s="3" t="e">
        <f>NA()</f>
        <v>#N/A</v>
      </c>
      <c r="K8" s="3" t="e">
        <f>NA()</f>
        <v>#N/A</v>
      </c>
      <c r="L8" s="3" t="e">
        <f>NA()</f>
        <v>#N/A</v>
      </c>
      <c r="M8" s="3" t="e">
        <f>NA()</f>
        <v>#N/A</v>
      </c>
      <c r="N8" s="3" t="e">
        <f>NA()</f>
        <v>#N/A</v>
      </c>
      <c r="O8" s="3" t="e">
        <f>NA()</f>
        <v>#N/A</v>
      </c>
      <c r="P8" s="3" t="e">
        <f>NA()</f>
        <v>#N/A</v>
      </c>
      <c r="Q8" s="3" t="e">
        <f>NA()</f>
        <v>#N/A</v>
      </c>
      <c r="R8" s="3" t="e">
        <f>NA()</f>
        <v>#N/A</v>
      </c>
      <c r="S8" s="3" t="e">
        <f>NA()</f>
        <v>#N/A</v>
      </c>
      <c r="T8" s="3" t="e">
        <f>NA()</f>
        <v>#N/A</v>
      </c>
      <c r="V8" t="s">
        <v>222</v>
      </c>
    </row>
    <row r="9" spans="1:23">
      <c r="A9" s="8">
        <v>8</v>
      </c>
      <c r="B9" s="2"/>
      <c r="C9" s="8" t="s">
        <v>229</v>
      </c>
      <c r="D9" s="5" t="s">
        <v>138</v>
      </c>
      <c r="F9" t="s">
        <v>127</v>
      </c>
      <c r="G9" s="3" t="s">
        <v>482</v>
      </c>
      <c r="H9" s="3" t="e">
        <f>NA()</f>
        <v>#N/A</v>
      </c>
      <c r="I9" s="3" t="e">
        <f>NA()</f>
        <v>#N/A</v>
      </c>
      <c r="J9" s="3" t="e">
        <f>NA()</f>
        <v>#N/A</v>
      </c>
      <c r="K9" s="3" t="e">
        <f>NA()</f>
        <v>#N/A</v>
      </c>
      <c r="L9" s="3" t="e">
        <f>NA()</f>
        <v>#N/A</v>
      </c>
      <c r="M9" s="3" t="e">
        <f>NA()</f>
        <v>#N/A</v>
      </c>
      <c r="N9" s="3" t="e">
        <f>NA()</f>
        <v>#N/A</v>
      </c>
      <c r="O9" s="3" t="e">
        <f>NA()</f>
        <v>#N/A</v>
      </c>
      <c r="P9" s="3" t="e">
        <f>NA()</f>
        <v>#N/A</v>
      </c>
      <c r="Q9" s="3" t="e">
        <f>NA()</f>
        <v>#N/A</v>
      </c>
      <c r="R9" s="3" t="e">
        <f>NA()</f>
        <v>#N/A</v>
      </c>
      <c r="S9" s="3" t="e">
        <f>NA()</f>
        <v>#N/A</v>
      </c>
      <c r="T9" s="3" t="e">
        <f>NA()</f>
        <v>#N/A</v>
      </c>
      <c r="V9" t="s">
        <v>208</v>
      </c>
    </row>
    <row r="10" spans="1:23">
      <c r="A10" s="8">
        <v>9</v>
      </c>
      <c r="B10" s="2" t="s">
        <v>25</v>
      </c>
      <c r="C10" s="8" t="s">
        <v>230</v>
      </c>
      <c r="D10" s="5" t="s">
        <v>26</v>
      </c>
      <c r="G10" s="3"/>
      <c r="H10" s="11"/>
      <c r="I10" s="11"/>
      <c r="J10" s="3"/>
      <c r="K10" s="3"/>
      <c r="L10" s="3"/>
      <c r="M10" s="3"/>
      <c r="N10" s="11"/>
      <c r="O10" s="11"/>
      <c r="P10" s="11"/>
      <c r="Q10" s="11"/>
      <c r="R10" s="11"/>
      <c r="S10" s="11"/>
      <c r="T10" s="11"/>
      <c r="V10" t="s">
        <v>223</v>
      </c>
    </row>
    <row r="11" spans="1:23">
      <c r="A11" s="8">
        <v>10</v>
      </c>
      <c r="B11" s="2" t="s">
        <v>19</v>
      </c>
      <c r="C11" s="8" t="s">
        <v>231</v>
      </c>
      <c r="D11" s="5" t="s">
        <v>20</v>
      </c>
      <c r="G11" s="3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V11" t="s">
        <v>215</v>
      </c>
      <c r="W11" s="11"/>
    </row>
    <row r="12" spans="1:23">
      <c r="A12" s="8">
        <v>11</v>
      </c>
      <c r="B12" s="2" t="s">
        <v>21</v>
      </c>
      <c r="C12" s="8" t="s">
        <v>232</v>
      </c>
      <c r="D12" s="5" t="s">
        <v>22</v>
      </c>
      <c r="F12" t="s">
        <v>106</v>
      </c>
      <c r="G12" s="3" t="s">
        <v>483</v>
      </c>
      <c r="H12" s="3">
        <v>1</v>
      </c>
      <c r="I12" s="3">
        <v>2</v>
      </c>
      <c r="J12" s="3">
        <v>3</v>
      </c>
      <c r="K12" s="3">
        <v>4</v>
      </c>
      <c r="L12" s="3">
        <v>5</v>
      </c>
      <c r="M12" s="3">
        <v>6</v>
      </c>
      <c r="N12" s="3">
        <v>7</v>
      </c>
      <c r="O12" s="3">
        <v>8</v>
      </c>
      <c r="P12" s="3">
        <v>9</v>
      </c>
      <c r="Q12" s="3">
        <v>10</v>
      </c>
      <c r="R12" s="3">
        <v>11</v>
      </c>
      <c r="S12" s="3">
        <v>12</v>
      </c>
      <c r="T12" s="3">
        <v>13</v>
      </c>
      <c r="V12" t="s">
        <v>224</v>
      </c>
      <c r="W12" s="11"/>
    </row>
    <row r="13" spans="1:23">
      <c r="A13" s="8">
        <v>12</v>
      </c>
      <c r="B13" s="2" t="s">
        <v>23</v>
      </c>
      <c r="C13" s="8" t="s">
        <v>233</v>
      </c>
      <c r="D13" s="5" t="s">
        <v>24</v>
      </c>
      <c r="F13" t="s">
        <v>481</v>
      </c>
      <c r="G13" s="3" t="s">
        <v>483</v>
      </c>
      <c r="H13" s="3">
        <v>47</v>
      </c>
      <c r="I13" s="3">
        <v>46</v>
      </c>
      <c r="J13" s="3">
        <v>45</v>
      </c>
      <c r="K13" s="3">
        <v>45</v>
      </c>
      <c r="L13" s="3">
        <v>45</v>
      </c>
      <c r="M13" s="3">
        <v>45</v>
      </c>
      <c r="N13" s="3">
        <v>45</v>
      </c>
      <c r="O13" s="3">
        <v>45</v>
      </c>
      <c r="P13" s="3">
        <v>45</v>
      </c>
      <c r="Q13" s="3">
        <v>45</v>
      </c>
      <c r="R13" s="3">
        <v>45</v>
      </c>
      <c r="S13" s="3">
        <v>45</v>
      </c>
      <c r="T13" s="3">
        <v>45</v>
      </c>
      <c r="V13" t="s">
        <v>225</v>
      </c>
      <c r="W13" s="11"/>
    </row>
    <row r="14" spans="1:23">
      <c r="A14" s="8">
        <v>13</v>
      </c>
      <c r="B14" s="2" t="s">
        <v>27</v>
      </c>
      <c r="C14" s="8" t="s">
        <v>234</v>
      </c>
      <c r="D14" s="5" t="s">
        <v>28</v>
      </c>
      <c r="F14" t="s">
        <v>309</v>
      </c>
      <c r="G14" s="3" t="s">
        <v>483</v>
      </c>
      <c r="H14" s="3">
        <v>47</v>
      </c>
      <c r="I14" s="3">
        <v>46</v>
      </c>
      <c r="J14" s="3">
        <v>45</v>
      </c>
      <c r="K14" s="3">
        <v>45</v>
      </c>
      <c r="L14" s="3">
        <v>45</v>
      </c>
      <c r="M14" s="3">
        <v>45</v>
      </c>
      <c r="N14" s="3">
        <v>45</v>
      </c>
      <c r="O14" s="3">
        <v>45</v>
      </c>
      <c r="P14" s="3">
        <v>45</v>
      </c>
      <c r="Q14" s="3">
        <v>45</v>
      </c>
      <c r="R14" s="3">
        <v>45</v>
      </c>
      <c r="S14" s="3">
        <v>45</v>
      </c>
      <c r="T14" s="3">
        <v>45</v>
      </c>
      <c r="W14" s="11"/>
    </row>
    <row r="15" spans="1:23">
      <c r="A15" s="8">
        <v>14</v>
      </c>
      <c r="B15" s="2" t="s">
        <v>29</v>
      </c>
      <c r="C15" s="8" t="s">
        <v>235</v>
      </c>
      <c r="D15" s="5" t="s">
        <v>30</v>
      </c>
      <c r="F15" t="s">
        <v>130</v>
      </c>
      <c r="G15" s="3" t="s">
        <v>483</v>
      </c>
      <c r="H15" s="3">
        <v>2633</v>
      </c>
      <c r="I15" s="3">
        <v>46</v>
      </c>
      <c r="J15" s="3">
        <v>45</v>
      </c>
      <c r="K15" s="3">
        <v>45</v>
      </c>
      <c r="L15" s="3">
        <v>45</v>
      </c>
      <c r="M15" s="3">
        <v>45</v>
      </c>
      <c r="N15" s="3">
        <v>45</v>
      </c>
      <c r="O15" s="3">
        <v>45</v>
      </c>
      <c r="P15" s="3">
        <v>45</v>
      </c>
      <c r="Q15" s="3">
        <v>45</v>
      </c>
      <c r="R15" s="3">
        <v>45</v>
      </c>
      <c r="S15" s="3">
        <v>45</v>
      </c>
      <c r="T15" s="3">
        <v>45</v>
      </c>
      <c r="V15" t="s">
        <v>391</v>
      </c>
      <c r="W15" s="11"/>
    </row>
    <row r="16" spans="1:23">
      <c r="A16" s="8">
        <v>15</v>
      </c>
      <c r="B16" s="2" t="s">
        <v>31</v>
      </c>
      <c r="C16" s="8" t="s">
        <v>236</v>
      </c>
      <c r="D16" s="5" t="s">
        <v>32</v>
      </c>
      <c r="V16" t="s">
        <v>392</v>
      </c>
    </row>
    <row r="17" spans="1:23">
      <c r="A17" s="8">
        <v>16</v>
      </c>
      <c r="B17" s="2" t="s">
        <v>33</v>
      </c>
      <c r="C17" s="8" t="s">
        <v>237</v>
      </c>
      <c r="D17" s="5" t="s">
        <v>34</v>
      </c>
      <c r="F17" t="s">
        <v>484</v>
      </c>
      <c r="V17" t="s">
        <v>393</v>
      </c>
    </row>
    <row r="18" spans="1:23" ht="30">
      <c r="A18" s="8">
        <v>17</v>
      </c>
      <c r="B18" s="2" t="s">
        <v>40</v>
      </c>
      <c r="C18" s="8" t="s">
        <v>41</v>
      </c>
      <c r="D18" s="5" t="s">
        <v>42</v>
      </c>
      <c r="F18" t="s">
        <v>214</v>
      </c>
    </row>
    <row r="19" spans="1:23" ht="30">
      <c r="A19" s="8">
        <v>18</v>
      </c>
      <c r="B19" s="2" t="s">
        <v>43</v>
      </c>
      <c r="C19" s="8" t="s">
        <v>44</v>
      </c>
      <c r="D19" s="5" t="s">
        <v>45</v>
      </c>
      <c r="F19" t="s">
        <v>206</v>
      </c>
    </row>
    <row r="20" spans="1:23" ht="30">
      <c r="A20" s="8">
        <v>19</v>
      </c>
      <c r="B20" s="2" t="s">
        <v>46</v>
      </c>
      <c r="C20" s="8" t="s">
        <v>47</v>
      </c>
      <c r="D20" s="5" t="s">
        <v>48</v>
      </c>
      <c r="F20" t="s">
        <v>303</v>
      </c>
      <c r="J20" s="11"/>
    </row>
    <row r="21" spans="1:23" ht="30">
      <c r="A21" s="8">
        <v>20</v>
      </c>
      <c r="B21" s="2" t="s">
        <v>49</v>
      </c>
      <c r="C21" s="8" t="s">
        <v>50</v>
      </c>
      <c r="D21" s="5" t="s">
        <v>51</v>
      </c>
      <c r="F21" t="s">
        <v>334</v>
      </c>
      <c r="J21" s="11"/>
    </row>
    <row r="22" spans="1:23" ht="30">
      <c r="A22" s="8">
        <v>21</v>
      </c>
      <c r="B22" s="2" t="s">
        <v>52</v>
      </c>
      <c r="C22" s="8" t="s">
        <v>53</v>
      </c>
      <c r="D22" s="5" t="s">
        <v>54</v>
      </c>
      <c r="F22" t="s">
        <v>335</v>
      </c>
      <c r="J22" s="11"/>
      <c r="U22" s="2"/>
    </row>
    <row r="23" spans="1:23">
      <c r="A23" s="8">
        <v>22</v>
      </c>
      <c r="B23" s="2" t="s">
        <v>55</v>
      </c>
      <c r="C23" s="8" t="s">
        <v>56</v>
      </c>
      <c r="D23" s="5" t="s">
        <v>57</v>
      </c>
      <c r="F23" t="s">
        <v>345</v>
      </c>
      <c r="J23" s="11"/>
      <c r="U23" s="2"/>
    </row>
    <row r="24" spans="1:23">
      <c r="A24" s="8">
        <v>23</v>
      </c>
      <c r="B24" s="2" t="s">
        <v>58</v>
      </c>
      <c r="C24" s="8" t="s">
        <v>59</v>
      </c>
      <c r="D24" s="5" t="s">
        <v>60</v>
      </c>
      <c r="F24" t="s">
        <v>499</v>
      </c>
      <c r="H24" s="10"/>
      <c r="K24" s="2"/>
      <c r="U24" s="2"/>
      <c r="W24" s="11"/>
    </row>
    <row r="25" spans="1:23" ht="30">
      <c r="A25" s="8">
        <v>24</v>
      </c>
      <c r="B25" s="2" t="s">
        <v>61</v>
      </c>
      <c r="C25" s="8" t="s">
        <v>62</v>
      </c>
      <c r="D25" s="5" t="s">
        <v>63</v>
      </c>
      <c r="K25" s="2"/>
    </row>
    <row r="26" spans="1:23" ht="45">
      <c r="A26" s="8">
        <v>25</v>
      </c>
      <c r="B26" s="2" t="s">
        <v>64</v>
      </c>
      <c r="C26" s="8" t="s">
        <v>65</v>
      </c>
      <c r="D26" s="5" t="s">
        <v>66</v>
      </c>
      <c r="H26" s="10"/>
      <c r="K26" s="3"/>
      <c r="W26" s="10"/>
    </row>
    <row r="27" spans="1:23">
      <c r="A27" s="8">
        <v>26</v>
      </c>
      <c r="B27" s="2" t="s">
        <v>67</v>
      </c>
      <c r="C27" s="77" t="s">
        <v>243</v>
      </c>
      <c r="D27" s="5" t="s">
        <v>244</v>
      </c>
      <c r="H27" s="10"/>
      <c r="W27" s="10"/>
    </row>
    <row r="28" spans="1:23" ht="45">
      <c r="A28" s="8">
        <v>27</v>
      </c>
      <c r="B28" s="2" t="s">
        <v>68</v>
      </c>
      <c r="C28" s="77" t="s">
        <v>69</v>
      </c>
      <c r="D28" s="5" t="s">
        <v>70</v>
      </c>
      <c r="H28" s="10"/>
      <c r="W28" s="10"/>
    </row>
    <row r="29" spans="1:23" ht="30">
      <c r="A29" s="8">
        <v>28</v>
      </c>
      <c r="B29" s="2" t="s">
        <v>71</v>
      </c>
      <c r="C29" s="77" t="s">
        <v>72</v>
      </c>
      <c r="D29" s="5" t="s">
        <v>73</v>
      </c>
      <c r="H29" s="10"/>
      <c r="W29" s="10"/>
    </row>
    <row r="30" spans="1:23">
      <c r="A30" s="8">
        <v>29</v>
      </c>
      <c r="B30" s="2" t="s">
        <v>74</v>
      </c>
      <c r="C30" s="77" t="s">
        <v>239</v>
      </c>
      <c r="D30" s="5" t="s">
        <v>75</v>
      </c>
      <c r="H30" s="10"/>
      <c r="W30" s="10"/>
    </row>
    <row r="31" spans="1:23">
      <c r="A31" s="8">
        <v>30</v>
      </c>
      <c r="B31" s="2" t="s">
        <v>76</v>
      </c>
      <c r="C31" s="77" t="s">
        <v>238</v>
      </c>
      <c r="D31" s="5" t="s">
        <v>77</v>
      </c>
      <c r="H31" s="10"/>
      <c r="W31" s="10"/>
    </row>
    <row r="32" spans="1:23">
      <c r="A32" s="8">
        <v>31</v>
      </c>
      <c r="B32" s="2" t="s">
        <v>78</v>
      </c>
      <c r="C32" s="77" t="s">
        <v>240</v>
      </c>
      <c r="D32" s="5" t="s">
        <v>79</v>
      </c>
      <c r="H32" s="10"/>
      <c r="W32" s="10"/>
    </row>
    <row r="33" spans="1:23">
      <c r="A33" s="8">
        <v>32</v>
      </c>
      <c r="B33" s="2" t="s">
        <v>81</v>
      </c>
      <c r="C33" s="77" t="s">
        <v>82</v>
      </c>
      <c r="D33" s="5" t="s">
        <v>241</v>
      </c>
      <c r="H33" s="10"/>
      <c r="I33" s="10"/>
      <c r="W33" s="10"/>
    </row>
    <row r="34" spans="1:23">
      <c r="A34" s="8">
        <v>33</v>
      </c>
      <c r="B34" s="2" t="s">
        <v>83</v>
      </c>
      <c r="C34" s="77" t="s">
        <v>84</v>
      </c>
      <c r="D34" s="5" t="s">
        <v>242</v>
      </c>
      <c r="H34" s="10"/>
      <c r="W34" s="10"/>
    </row>
    <row r="35" spans="1:23">
      <c r="A35" s="8">
        <v>34</v>
      </c>
      <c r="B35" s="2"/>
      <c r="C35" s="77" t="s">
        <v>245</v>
      </c>
      <c r="D35" s="5" t="s">
        <v>88</v>
      </c>
      <c r="H35" s="10"/>
      <c r="W35" s="10"/>
    </row>
    <row r="36" spans="1:23" ht="34.15" customHeight="1">
      <c r="A36" s="8"/>
      <c r="B36" s="2"/>
      <c r="C36" s="8"/>
      <c r="D36" s="5"/>
      <c r="F36" s="10"/>
      <c r="H36" s="10"/>
      <c r="W36" s="10"/>
    </row>
    <row r="37" spans="1:23">
      <c r="A37" s="8"/>
      <c r="B37" s="2"/>
      <c r="C37" s="8"/>
      <c r="D37" s="5"/>
      <c r="G37" s="10"/>
      <c r="H37" s="10"/>
    </row>
  </sheetData>
  <sheetProtection sheet="1" objects="1" scenarios="1" formatCells="0" formatColumns="0"/>
  <phoneticPr fontId="15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P97"/>
  <sheetViews>
    <sheetView zoomScaleNormal="100" workbookViewId="0">
      <selection activeCell="C7" sqref="C7"/>
    </sheetView>
  </sheetViews>
  <sheetFormatPr defaultRowHeight="15" outlineLevelCol="2"/>
  <cols>
    <col min="1" max="1" width="3.140625" bestFit="1" customWidth="1"/>
    <col min="2" max="2" width="34.42578125" bestFit="1" customWidth="1"/>
    <col min="3" max="3" width="38" bestFit="1" customWidth="1"/>
    <col min="4" max="4" width="9.85546875" customWidth="1"/>
    <col min="5" max="10" width="4.42578125" style="114" hidden="1" customWidth="1" outlineLevel="1"/>
    <col min="11" max="17" width="4.42578125" style="115" hidden="1" customWidth="1" outlineLevel="1"/>
    <col min="18" max="30" width="4.42578125" style="114" hidden="1" customWidth="1" outlineLevel="1"/>
    <col min="31" max="31" width="8.85546875" collapsed="1"/>
    <col min="32" max="32" width="18.7109375" hidden="1" customWidth="1" outlineLevel="2"/>
    <col min="33" max="33" width="9.28515625" hidden="1" customWidth="1" outlineLevel="2"/>
    <col min="34" max="34" width="9.140625" hidden="1" customWidth="1" outlineLevel="2"/>
    <col min="35" max="35" width="31" hidden="1" customWidth="1" outlineLevel="2"/>
    <col min="36" max="36" width="14.5703125" hidden="1" customWidth="1" outlineLevel="2"/>
    <col min="37" max="37" width="23.5703125" hidden="1" customWidth="1" outlineLevel="2"/>
    <col min="38" max="38" width="5" customWidth="1" collapsed="1"/>
    <col min="39" max="39" width="12.85546875" bestFit="1" customWidth="1"/>
    <col min="40" max="40" width="13.7109375" bestFit="1" customWidth="1"/>
    <col min="41" max="41" width="114.140625" bestFit="1" customWidth="1"/>
  </cols>
  <sheetData>
    <row r="1" spans="1:42">
      <c r="A1" t="s">
        <v>2</v>
      </c>
      <c r="B1" t="s">
        <v>1</v>
      </c>
      <c r="C1" t="s">
        <v>0</v>
      </c>
      <c r="E1" s="114" t="s">
        <v>101</v>
      </c>
      <c r="F1" s="114" t="s">
        <v>102</v>
      </c>
      <c r="G1" s="114" t="s">
        <v>278</v>
      </c>
      <c r="H1" s="114" t="s">
        <v>279</v>
      </c>
      <c r="I1" s="114" t="s">
        <v>280</v>
      </c>
      <c r="J1" s="114" t="s">
        <v>281</v>
      </c>
      <c r="K1" s="115" t="s">
        <v>282</v>
      </c>
      <c r="L1" s="115" t="s">
        <v>283</v>
      </c>
      <c r="M1" s="115" t="s">
        <v>284</v>
      </c>
      <c r="N1" s="115" t="s">
        <v>285</v>
      </c>
      <c r="O1" s="115" t="s">
        <v>286</v>
      </c>
      <c r="P1" s="115" t="s">
        <v>287</v>
      </c>
      <c r="Q1" s="115" t="s">
        <v>288</v>
      </c>
      <c r="R1" s="114" t="s">
        <v>103</v>
      </c>
      <c r="S1" s="114" t="s">
        <v>104</v>
      </c>
      <c r="T1" s="114" t="s">
        <v>289</v>
      </c>
      <c r="U1" s="114" t="s">
        <v>290</v>
      </c>
      <c r="V1" s="114" t="s">
        <v>291</v>
      </c>
      <c r="W1" s="114" t="s">
        <v>292</v>
      </c>
      <c r="X1" s="114" t="s">
        <v>293</v>
      </c>
      <c r="Y1" s="114" t="s">
        <v>294</v>
      </c>
      <c r="Z1" s="114" t="s">
        <v>295</v>
      </c>
      <c r="AA1" s="114" t="s">
        <v>296</v>
      </c>
      <c r="AB1" s="114" t="s">
        <v>297</v>
      </c>
      <c r="AC1" s="114" t="s">
        <v>298</v>
      </c>
      <c r="AD1" s="114" t="s">
        <v>299</v>
      </c>
      <c r="AF1" s="2" t="s">
        <v>128</v>
      </c>
      <c r="AG1" s="2" t="s">
        <v>129</v>
      </c>
      <c r="AI1" t="s">
        <v>195</v>
      </c>
      <c r="AJ1" t="s">
        <v>196</v>
      </c>
      <c r="AK1" t="s">
        <v>197</v>
      </c>
      <c r="AM1" t="s">
        <v>496</v>
      </c>
      <c r="AN1" s="2" t="s">
        <v>490</v>
      </c>
      <c r="AO1" t="s">
        <v>354</v>
      </c>
      <c r="AP1" s="157"/>
    </row>
    <row r="2" spans="1:42">
      <c r="A2">
        <f>ROW(Расходка[[#This Row],[Тип расходного материала ]])-1</f>
        <v>1</v>
      </c>
      <c r="B2" t="s">
        <v>94</v>
      </c>
      <c r="C2" s="1" t="s">
        <v>308</v>
      </c>
      <c r="D2" s="1"/>
      <c r="E2" s="115">
        <f>IF(ISNUMBER(SEARCH('Карта учёта'!$B$13,Расходка[[#This Row],[Наименование расходного материала]])),MAX($E$1:E1)+1,0)</f>
        <v>0</v>
      </c>
      <c r="F2" s="115">
        <f>IF(ISNUMBER(SEARCH('Карта учёта'!$B$14,Расходка[[#This Row],[Наименование расходного материала]])),MAX($F$1:F1)+1,0)</f>
        <v>0</v>
      </c>
      <c r="G2" s="115">
        <f>IF(ISNUMBER(SEARCH('Карта учёта'!$B$15,Расходка[[#This Row],[Наименование расходного материала]])),MAX($G$1:G1)+1,0)</f>
        <v>0</v>
      </c>
      <c r="H2" s="115">
        <f>IF(ISNUMBER(SEARCH('Карта учёта'!#REF!,Расходка[[#This Row],[Наименование расходного материала]])),MAX($H$1:H1)+1,0)</f>
        <v>0</v>
      </c>
      <c r="I2" s="115">
        <f>IF(ISNUMBER(SEARCH('Карта учёта'!$B$17,Расходка[[#This Row],[Наименование расходного материала]])),MAX($I$1:I1)+1,0)</f>
        <v>0</v>
      </c>
      <c r="J2" s="115">
        <f>IF(ISNUMBER(SEARCH('Карта учёта'!$B$18,Расходка[[#This Row],[Наименование расходного материала]])),MAX($J$1:J1)+1,0)</f>
        <v>1</v>
      </c>
      <c r="K2" s="115">
        <f>IF(ISNUMBER(SEARCH('Карта учёта'!$B$16,Расходка[[#This Row],[Наименование расходного материала]])),MAX($K$1:K1)+1,0)</f>
        <v>0</v>
      </c>
      <c r="L2" s="115">
        <f>IF(ISNUMBER(SEARCH('Карта учёта'!$B$20,Расходка[[#This Row],[Наименование расходного материала]])),MAX($L$1:L1)+1,0)</f>
        <v>1</v>
      </c>
      <c r="M2" s="115">
        <f>IF(ISNUMBER(SEARCH('Карта учёта'!$B$21,Расходка[[#This Row],[Наименование расходного материала]])),MAX($M$1:M1)+1,0)</f>
        <v>1</v>
      </c>
      <c r="N2" s="2">
        <f>IF(ISNUMBER(SEARCH('Карта учёта'!$B$22,Расходка[[#This Row],[Наименование расходного материала]])),MAX($N$1:N1)+1,0)</f>
        <v>1</v>
      </c>
      <c r="O2" s="115">
        <f>IF(ISNUMBER(SEARCH('Карта учёта'!$B$23,Расходка[[#This Row],[Наименование расходного материала]])),MAX($O$1:O1)+1,0)</f>
        <v>1</v>
      </c>
      <c r="P2" s="115">
        <f>IF(ISNUMBER(SEARCH('Карта учёта'!$B$24,Расходка[[#This Row],[Наименование расходного материала]])),MAX($P$1:P1)+1,0)</f>
        <v>1</v>
      </c>
      <c r="Q2" s="115">
        <f>IF(ISNUMBER(SEARCH('Карта учёта'!$B$25,Расходка[[#This Row],[Наименование расходного материала]])),MAX($Q$1:Q1)+1,0)</f>
        <v>1</v>
      </c>
      <c r="R2" s="114" t="str">
        <f>IFERROR(INDEX(Расходка[Наименование расходного материала],MATCH(Расходка[[#This Row],[№]],Поиск_расходки[Индекс1],0)),"")</f>
        <v>Индефлятор</v>
      </c>
      <c r="S2" s="114" t="str">
        <f>IFERROR(INDEX(Расходка[Наименование расходного материала],MATCH(Расходка[[#This Row],[№]],Поиск_расходки[Индекс2],0)),"")</f>
        <v>Launcher 6F EBU 3.5</v>
      </c>
      <c r="T2" s="114" t="str">
        <f>IFERROR(INDEX(Расходка[Наименование расходного материала],MATCH(Расходка[[#This Row],[№]],Поиск_расходки[Индекс3],0)),"")</f>
        <v>Shunmei</v>
      </c>
      <c r="U2" s="114" t="str">
        <f>IFERROR(INDEX(Расходка[Наименование расходного материала],MATCH(Расходка[[#This Row],[№]],Поиск_расходки[Индекс4],0)),"")</f>
        <v/>
      </c>
      <c r="V2" s="114" t="str">
        <f>IFERROR(INDEX(Расходка[Наименование расходного материала],MATCH(Расходка[[#This Row],[№]],Поиск_расходки[Индекс5],0)),"")</f>
        <v>DES, Resolute Integtity</v>
      </c>
      <c r="W2" s="114" t="str">
        <f>IFERROR(INDEX(Расходка[Наименование расходного материала],MATCH(Расходка[[#This Row],[№]],Поиск_расходки[Индекс6],0)),"")</f>
        <v>Hunter® 6F</v>
      </c>
      <c r="X2" s="114" t="str">
        <f>IFERROR(INDEX(Расходка[Наименование расходного материала],MATCH(Расходка[[#This Row],[№]],Поиск_расходки[Индекс7],0)),"")</f>
        <v>Artimes</v>
      </c>
      <c r="Y2" s="114" t="str">
        <f>IFERROR(INDEX(Расходка[Наименование расходного материала],MATCH(Расходка[[#This Row],[№]],Поиск_расходки[Индекс8],0)),"")</f>
        <v>Hunter® 6F</v>
      </c>
      <c r="Z2" s="114" t="str">
        <f>IFERROR(INDEX(Расходка[Наименование расходного материала],MATCH(Расходка[[#This Row],[№]],Поиск_расходки[Индекс9],0)),"")</f>
        <v>Hunter® 6F</v>
      </c>
      <c r="AA2" s="114" t="str">
        <f>IFERROR(INDEX(Расходка[Наименование расходного материала],MATCH(Расходка[[#This Row],[№]],Поиск_расходки[Индекс10],0)),"")</f>
        <v>Hunter® 6F</v>
      </c>
      <c r="AB2" s="114" t="str">
        <f>IFERROR(INDEX(Расходка[Наименование расходного материала],MATCH(Расходка[[#This Row],[№]],Поиск_расходки[Индекс11],0)),"")</f>
        <v>Hunter® 6F</v>
      </c>
      <c r="AC2" s="114" t="str">
        <f>IFERROR(INDEX(Расходка[Наименование расходного материала],MATCH(Расходка[[#This Row],[№]],Поиск_расходки[Индекс12],0)),"")</f>
        <v>Hunter® 6F</v>
      </c>
      <c r="AD2" s="114" t="str">
        <f>IFERROR(INDEX(Расходка[Наименование расходного материала],MATCH(Расходка[[#This Row],[№]],Поиск_расходки[Индекс13],0)),"")</f>
        <v>Hunter® 6F</v>
      </c>
      <c r="AF2" s="4" t="s">
        <v>5</v>
      </c>
      <c r="AG2" s="4" t="s">
        <v>398</v>
      </c>
      <c r="AI2" t="s">
        <v>189</v>
      </c>
      <c r="AJ2" t="s">
        <v>198</v>
      </c>
      <c r="AK2" t="str">
        <f>CONCATENATE(AI2,AJ2)</f>
        <v xml:space="preserve">Контраст: Ультравист 370 </v>
      </c>
      <c r="AM2" s="205">
        <v>155800</v>
      </c>
      <c r="AN2" s="206" t="s">
        <v>307</v>
      </c>
      <c r="AO2" s="207" t="s">
        <v>492</v>
      </c>
      <c r="AP2" s="127"/>
    </row>
    <row r="3" spans="1:42">
      <c r="A3">
        <f>ROW(Расходка[[#This Row],[Тип расходного материала ]])-1</f>
        <v>2</v>
      </c>
      <c r="B3" t="s">
        <v>94</v>
      </c>
      <c r="C3" t="s">
        <v>367</v>
      </c>
      <c r="E3" s="115">
        <f>IF(ISNUMBER(SEARCH('Карта учёта'!$B$13,Расходка[[#This Row],[Наименование расходного материала]])),MAX($E$1:E2)+1,0)</f>
        <v>0</v>
      </c>
      <c r="F3" s="115">
        <f>IF(ISNUMBER(SEARCH('Карта учёта'!$B$14,Расходка[[#This Row],[Наименование расходного материала]])),MAX($F$1:F2)+1,0)</f>
        <v>0</v>
      </c>
      <c r="G3" s="115">
        <f>IF(ISNUMBER(SEARCH('Карта учёта'!$B$15,Расходка[[#This Row],[Наименование расходного материала]])),MAX($G$1:G2)+1,0)</f>
        <v>0</v>
      </c>
      <c r="H3" s="115">
        <f>IF(ISNUMBER(SEARCH('Карта учёта'!#REF!,Расходка[[#This Row],[Наименование расходного материала]])),MAX($H$1:H2)+1,0)</f>
        <v>0</v>
      </c>
      <c r="I3" s="115">
        <f>IF(ISNUMBER(SEARCH('Карта учёта'!$B$17,Расходка[[#This Row],[Наименование расходного материала]])),MAX($I$1:I2)+1,0)</f>
        <v>0</v>
      </c>
      <c r="J3" s="115">
        <f>IF(ISNUMBER(SEARCH('Карта учёта'!$B$18,Расходка[[#This Row],[Наименование расходного материала]])),MAX($J$1:J2)+1,0)</f>
        <v>2</v>
      </c>
      <c r="K3" s="115">
        <f>IF(ISNUMBER(SEARCH('Карта учёта'!$B$16,Расходка[[#This Row],[Наименование расходного материала]])),MAX($K$1:K2)+1,0)</f>
        <v>0</v>
      </c>
      <c r="L3" s="115">
        <f>IF(ISNUMBER(SEARCH('Карта учёта'!$B$20,Расходка[[#This Row],[Наименование расходного материала]])),MAX($L$1:L2)+1,0)</f>
        <v>2</v>
      </c>
      <c r="M3" s="115">
        <f>IF(ISNUMBER(SEARCH('Карта учёта'!$B$21,Расходка[[#This Row],[Наименование расходного материала]])),MAX($M$1:M2)+1,0)</f>
        <v>2</v>
      </c>
      <c r="N3" s="115">
        <f>IF(ISNUMBER(SEARCH('Карта учёта'!$B$22,Расходка[[#This Row],[Наименование расходного материала]])),MAX($N$1:N2)+1,0)</f>
        <v>2</v>
      </c>
      <c r="O3" s="115">
        <f>IF(ISNUMBER(SEARCH('Карта учёта'!$B$23,Расходка[[#This Row],[Наименование расходного материала]])),MAX($O$1:O2)+1,0)</f>
        <v>2</v>
      </c>
      <c r="P3" s="115">
        <f>IF(ISNUMBER(SEARCH('Карта учёта'!$B$24,Расходка[[#This Row],[Наименование расходного материала]])),MAX($P$1:P2)+1,0)</f>
        <v>2</v>
      </c>
      <c r="Q3" s="115">
        <f>IF(ISNUMBER(SEARCH('Карта учёта'!$B$25,Расходка[[#This Row],[Наименование расходного материала]])),MAX($Q$1:Q2)+1,0)</f>
        <v>2</v>
      </c>
      <c r="R3" s="114" t="str">
        <f>IFERROR(INDEX(Расходка[Наименование расходного материала],MATCH(Расходка[[#This Row],[№]],Поиск_расходки[Индекс1],0)),"")</f>
        <v/>
      </c>
      <c r="S3" s="114" t="str">
        <f>IFERROR(INDEX(Расходка[Наименование расходного материала],MATCH(Расходка[[#This Row],[№]],Поиск_расходки[Индекс2],0)),"")</f>
        <v/>
      </c>
      <c r="T3" s="114" t="str">
        <f>IFERROR(INDEX(Расходка[Наименование расходного материала],MATCH(Расходка[[#This Row],[№]],Поиск_расходки[Индекс3],0)),"")</f>
        <v/>
      </c>
      <c r="U3" s="114" t="str">
        <f>IFERROR(INDEX(Расходка[Наименование расходного материала],MATCH(Расходка[[#This Row],[№]],Поиск_расходки[Индекс4],0)),"")</f>
        <v/>
      </c>
      <c r="V3" s="114" t="str">
        <f>IFERROR(INDEX(Расходка[Наименование расходного материала],MATCH(Расходка[[#This Row],[№]],Поиск_расходки[Индекс5],0)),"")</f>
        <v/>
      </c>
      <c r="W3" s="114" t="str">
        <f>IFERROR(INDEX(Расходка[Наименование расходного материала],MATCH(Расходка[[#This Row],[№]],Поиск_расходки[Индекс6],0)),"")</f>
        <v xml:space="preserve">Medtronic Export Advance </v>
      </c>
      <c r="X3" s="114" t="str">
        <f>IFERROR(INDEX(Расходка[Наименование расходного материала],MATCH(Расходка[[#This Row],[№]],Поиск_расходки[Индекс7],0)),"")</f>
        <v/>
      </c>
      <c r="Y3" s="114" t="str">
        <f>IFERROR(INDEX(Расходка[Наименование расходного материала],MATCH(Расходка[[#This Row],[№]],Поиск_расходки[Индекс8],0)),"")</f>
        <v xml:space="preserve">Medtronic Export Advance </v>
      </c>
      <c r="Z3" s="114" t="str">
        <f>IFERROR(INDEX(Расходка[Наименование расходного материала],MATCH(Расходка[[#This Row],[№]],Поиск_расходки[Индекс9],0)),"")</f>
        <v xml:space="preserve">Medtronic Export Advance </v>
      </c>
      <c r="AA3" s="114" t="str">
        <f>IFERROR(INDEX(Расходка[Наименование расходного материала],MATCH(Расходка[[#This Row],[№]],Поиск_расходки[Индекс10],0)),"")</f>
        <v xml:space="preserve">Medtronic Export Advance </v>
      </c>
      <c r="AB3" s="114" t="str">
        <f>IFERROR(INDEX(Расходка[Наименование расходного материала],MATCH(Расходка[[#This Row],[№]],Поиск_расходки[Индекс11],0)),"")</f>
        <v xml:space="preserve">Medtronic Export Advance </v>
      </c>
      <c r="AC3" s="114" t="str">
        <f>IFERROR(INDEX(Расходка[Наименование расходного материала],MATCH(Расходка[[#This Row],[№]],Поиск_расходки[Индекс12],0)),"")</f>
        <v xml:space="preserve">Medtronic Export Advance </v>
      </c>
      <c r="AD3" s="114" t="str">
        <f>IFERROR(INDEX(Расходка[Наименование расходного материала],MATCH(Расходка[[#This Row],[№]],Поиск_расходки[Индекс13],0)),"")</f>
        <v xml:space="preserve">Medtronic Export Advance </v>
      </c>
      <c r="AF3" s="4" t="s">
        <v>5</v>
      </c>
      <c r="AG3" s="4" t="s">
        <v>399</v>
      </c>
      <c r="AI3" t="s">
        <v>189</v>
      </c>
      <c r="AJ3" t="s">
        <v>199</v>
      </c>
      <c r="AK3" t="str">
        <f t="shared" ref="AK3:AK6" si="0">CONCATENATE(AI3,AJ3)</f>
        <v>Контраст: Омнипак 350</v>
      </c>
      <c r="AM3" s="187">
        <v>218190</v>
      </c>
      <c r="AN3" s="2" t="s">
        <v>485</v>
      </c>
      <c r="AO3" t="s">
        <v>493</v>
      </c>
      <c r="AP3" s="128"/>
    </row>
    <row r="4" spans="1:42">
      <c r="A4">
        <f>ROW(Расходка[[#This Row],[Тип расходного материала ]])-1</f>
        <v>3</v>
      </c>
      <c r="B4" t="s">
        <v>5</v>
      </c>
      <c r="C4" t="s">
        <v>528</v>
      </c>
      <c r="E4" s="115">
        <f>IF(ISNUMBER(SEARCH('Карта учёта'!$B$13,Расходка[[#This Row],[Наименование расходного материала]])),MAX($E$1:E3)+1,0)</f>
        <v>0</v>
      </c>
      <c r="F4" s="115">
        <f>IF(ISNUMBER(SEARCH('Карта учёта'!$B$14,Расходка[[#This Row],[Наименование расходного материала]])),MAX($F$1:F3)+1,0)</f>
        <v>0</v>
      </c>
      <c r="G4" s="115">
        <f>IF(ISNUMBER(SEARCH('Карта учёта'!$B$15,Расходка[[#This Row],[Наименование расходного материала]])),MAX($G$1:G3)+1,0)</f>
        <v>0</v>
      </c>
      <c r="H4" s="115">
        <f>IF(ISNUMBER(SEARCH('Карта учёта'!#REF!,Расходка[[#This Row],[Наименование расходного материала]])),MAX($H$1:H3)+1,0)</f>
        <v>0</v>
      </c>
      <c r="I4" s="115">
        <f>IF(ISNUMBER(SEARCH('Карта учёта'!$B$17,Расходка[[#This Row],[Наименование расходного материала]])),MAX($I$1:I3)+1,0)</f>
        <v>0</v>
      </c>
      <c r="J4" s="115">
        <f>IF(ISNUMBER(SEARCH('Карта учёта'!$B$18,Расходка[[#This Row],[Наименование расходного материала]])),MAX($J$1:J3)+1,0)</f>
        <v>3</v>
      </c>
      <c r="K4" s="115">
        <f>IF(ISNUMBER(SEARCH('Карта учёта'!$B$16,Расходка[[#This Row],[Наименование расходного материала]])),MAX($K$1:K3)+1,0)</f>
        <v>1</v>
      </c>
      <c r="L4" s="115">
        <f>IF(ISNUMBER(SEARCH('Карта учёта'!$B$20,Расходка[[#This Row],[Наименование расходного материала]])),MAX($L$1:L3)+1,0)</f>
        <v>3</v>
      </c>
      <c r="M4" s="115">
        <f>IF(ISNUMBER(SEARCH('Карта учёта'!$B$21,Расходка[[#This Row],[Наименование расходного материала]])),MAX($M$1:M3)+1,0)</f>
        <v>3</v>
      </c>
      <c r="N4" s="115">
        <f>IF(ISNUMBER(SEARCH('Карта учёта'!$B$22,Расходка[[#This Row],[Наименование расходного материала]])),MAX($N$1:N3)+1,0)</f>
        <v>3</v>
      </c>
      <c r="O4" s="115">
        <f>IF(ISNUMBER(SEARCH('Карта учёта'!$B$23,Расходка[[#This Row],[Наименование расходного материала]])),MAX($O$1:O3)+1,0)</f>
        <v>3</v>
      </c>
      <c r="P4" s="115">
        <f>IF(ISNUMBER(SEARCH('Карта учёта'!$B$24,Расходка[[#This Row],[Наименование расходного материала]])),MAX($P$1:P3)+1,0)</f>
        <v>3</v>
      </c>
      <c r="Q4" s="115">
        <f>IF(ISNUMBER(SEARCH('Карта учёта'!$B$25,Расходка[[#This Row],[Наименование расходного материала]])),MAX($Q$1:Q3)+1,0)</f>
        <v>3</v>
      </c>
      <c r="R4" s="114" t="str">
        <f>IFERROR(INDEX(Расходка[Наименование расходного материала],MATCH(Расходка[[#This Row],[№]],Поиск_расходки[Индекс1],0)),"")</f>
        <v/>
      </c>
      <c r="S4" s="114" t="str">
        <f>IFERROR(INDEX(Расходка[Наименование расходного материала],MATCH(Расходка[[#This Row],[№]],Поиск_расходки[Индекс2],0)),"")</f>
        <v/>
      </c>
      <c r="T4" s="114" t="str">
        <f>IFERROR(INDEX(Расходка[Наименование расходного материала],MATCH(Расходка[[#This Row],[№]],Поиск_расходки[Индекс3],0)),"")</f>
        <v/>
      </c>
      <c r="U4" s="114" t="str">
        <f>IFERROR(INDEX(Расходка[Наименование расходного материала],MATCH(Расходка[[#This Row],[№]],Поиск_расходки[Индекс4],0)),"")</f>
        <v/>
      </c>
      <c r="V4" s="114" t="str">
        <f>IFERROR(INDEX(Расходка[Наименование расходного материала],MATCH(Расходка[[#This Row],[№]],Поиск_расходки[Индекс5],0)),"")</f>
        <v/>
      </c>
      <c r="W4" s="114" t="str">
        <f>IFERROR(INDEX(Расходка[Наименование расходного материала],MATCH(Расходка[[#This Row],[№]],Поиск_расходки[Индекс6],0)),"")</f>
        <v>Artimes</v>
      </c>
      <c r="X4" s="114" t="str">
        <f>IFERROR(INDEX(Расходка[Наименование расходного материала],MATCH(Расходка[[#This Row],[№]],Поиск_расходки[Индекс7],0)),"")</f>
        <v/>
      </c>
      <c r="Y4" s="114" t="str">
        <f>IFERROR(INDEX(Расходка[Наименование расходного материала],MATCH(Расходка[[#This Row],[№]],Поиск_расходки[Индекс8],0)),"")</f>
        <v>Artimes</v>
      </c>
      <c r="Z4" s="114" t="str">
        <f>IFERROR(INDEX(Расходка[Наименование расходного материала],MATCH(Расходка[[#This Row],[№]],Поиск_расходки[Индекс9],0)),"")</f>
        <v>Artimes</v>
      </c>
      <c r="AA4" s="114" t="str">
        <f>IFERROR(INDEX(Расходка[Наименование расходного материала],MATCH(Расходка[[#This Row],[№]],Поиск_расходки[Индекс10],0)),"")</f>
        <v>Artimes</v>
      </c>
      <c r="AB4" s="114" t="str">
        <f>IFERROR(INDEX(Расходка[Наименование расходного материала],MATCH(Расходка[[#This Row],[№]],Поиск_расходки[Индекс11],0)),"")</f>
        <v>Artimes</v>
      </c>
      <c r="AC4" s="114" t="str">
        <f>IFERROR(INDEX(Расходка[Наименование расходного материала],MATCH(Расходка[[#This Row],[№]],Поиск_расходки[Индекс12],0)),"")</f>
        <v>Artimes</v>
      </c>
      <c r="AD4" s="114" t="str">
        <f>IFERROR(INDEX(Расходка[Наименование расходного материала],MATCH(Расходка[[#This Row],[№]],Поиск_расходки[Индекс13],0)),"")</f>
        <v>Artimes</v>
      </c>
      <c r="AF4" s="4" t="s">
        <v>5</v>
      </c>
      <c r="AG4" s="4" t="s">
        <v>400</v>
      </c>
      <c r="AI4" t="s">
        <v>189</v>
      </c>
      <c r="AJ4" t="s">
        <v>200</v>
      </c>
      <c r="AK4" t="str">
        <f t="shared" si="0"/>
        <v>Контраст: Оптирей 350</v>
      </c>
      <c r="AM4" s="187">
        <v>337440</v>
      </c>
      <c r="AN4" s="2" t="s">
        <v>498</v>
      </c>
      <c r="AO4" t="s">
        <v>495</v>
      </c>
      <c r="AP4" s="128"/>
    </row>
    <row r="5" spans="1:42">
      <c r="A5">
        <f>ROW(Расходка[[#This Row],[Тип расходного материала ]])-1</f>
        <v>4</v>
      </c>
      <c r="B5" t="s">
        <v>5</v>
      </c>
      <c r="C5" s="1" t="s">
        <v>276</v>
      </c>
      <c r="E5" s="115">
        <f>IF(ISNUMBER(SEARCH('Карта учёта'!$B$13,Расходка[[#This Row],[Наименование расходного материала]])),MAX($E$1:E4)+1,0)</f>
        <v>0</v>
      </c>
      <c r="F5" s="115">
        <f>IF(ISNUMBER(SEARCH('Карта учёта'!$B$14,Расходка[[#This Row],[Наименование расходного материала]])),MAX($F$1:F4)+1,0)</f>
        <v>0</v>
      </c>
      <c r="G5" s="115">
        <f>IF(ISNUMBER(SEARCH('Карта учёта'!$B$15,Расходка[[#This Row],[Наименование расходного материала]])),MAX($G$1:G4)+1,0)</f>
        <v>0</v>
      </c>
      <c r="H5" s="115">
        <f>IF(ISNUMBER(SEARCH('Карта учёта'!#REF!,Расходка[[#This Row],[Наименование расходного материала]])),MAX($H$1:H4)+1,0)</f>
        <v>0</v>
      </c>
      <c r="I5" s="115">
        <f>IF(ISNUMBER(SEARCH('Карта учёта'!$B$17,Расходка[[#This Row],[Наименование расходного материала]])),MAX($I$1:I4)+1,0)</f>
        <v>0</v>
      </c>
      <c r="J5" s="115">
        <f>IF(ISNUMBER(SEARCH('Карта учёта'!$B$18,Расходка[[#This Row],[Наименование расходного материала]])),MAX($J$1:J4)+1,0)</f>
        <v>4</v>
      </c>
      <c r="K5" s="115">
        <f>IF(ISNUMBER(SEARCH('Карта учёта'!$B$16,Расходка[[#This Row],[Наименование расходного материала]])),MAX($K$1:K4)+1,0)</f>
        <v>0</v>
      </c>
      <c r="L5" s="115">
        <f>IF(ISNUMBER(SEARCH('Карта учёта'!$B$20,Расходка[[#This Row],[Наименование расходного материала]])),MAX($L$1:L4)+1,0)</f>
        <v>4</v>
      </c>
      <c r="M5" s="115">
        <f>IF(ISNUMBER(SEARCH('Карта учёта'!$B$21,Расходка[[#This Row],[Наименование расходного материала]])),MAX($M$1:M4)+1,0)</f>
        <v>4</v>
      </c>
      <c r="N5" s="115">
        <f>IF(ISNUMBER(SEARCH('Карта учёта'!$B$22,Расходка[[#This Row],[Наименование расходного материала]])),MAX($N$1:N4)+1,0)</f>
        <v>4</v>
      </c>
      <c r="O5" s="115">
        <f>IF(ISNUMBER(SEARCH('Карта учёта'!$B$23,Расходка[[#This Row],[Наименование расходного материала]])),MAX($O$1:O4)+1,0)</f>
        <v>4</v>
      </c>
      <c r="P5" s="115">
        <f>IF(ISNUMBER(SEARCH('Карта учёта'!$B$24,Расходка[[#This Row],[Наименование расходного материала]])),MAX($P$1:P4)+1,0)</f>
        <v>4</v>
      </c>
      <c r="Q5" s="115">
        <f>IF(ISNUMBER(SEARCH('Карта учёта'!$B$25,Расходка[[#This Row],[Наименование расходного материала]])),MAX($Q$1:Q4)+1,0)</f>
        <v>4</v>
      </c>
      <c r="R5" s="114" t="str">
        <f>IFERROR(INDEX(Расходка[Наименование расходного материала],MATCH(Расходка[[#This Row],[№]],Поиск_расходки[Индекс1],0)),"")</f>
        <v/>
      </c>
      <c r="S5" s="114" t="str">
        <f>IFERROR(INDEX(Расходка[Наименование расходного материала],MATCH(Расходка[[#This Row],[№]],Поиск_расходки[Индекс2],0)),"")</f>
        <v/>
      </c>
      <c r="T5" s="114" t="str">
        <f>IFERROR(INDEX(Расходка[Наименование расходного материала],MATCH(Расходка[[#This Row],[№]],Поиск_расходки[Индекс3],0)),"")</f>
        <v/>
      </c>
      <c r="U5" s="114" t="str">
        <f>IFERROR(INDEX(Расходка[Наименование расходного материала],MATCH(Расходка[[#This Row],[№]],Поиск_расходки[Индекс4],0)),"")</f>
        <v/>
      </c>
      <c r="V5" s="114" t="str">
        <f>IFERROR(INDEX(Расходка[Наименование расходного материала],MATCH(Расходка[[#This Row],[№]],Поиск_расходки[Индекс5],0)),"")</f>
        <v/>
      </c>
      <c r="W5" s="114" t="str">
        <f>IFERROR(INDEX(Расходка[Наименование расходного материала],MATCH(Расходка[[#This Row],[№]],Поиск_расходки[Индекс6],0)),"")</f>
        <v>Euphora</v>
      </c>
      <c r="X5" s="114" t="str">
        <f>IFERROR(INDEX(Расходка[Наименование расходного материала],MATCH(Расходка[[#This Row],[№]],Поиск_расходки[Индекс7],0)),"")</f>
        <v/>
      </c>
      <c r="Y5" s="114" t="str">
        <f>IFERROR(INDEX(Расходка[Наименование расходного материала],MATCH(Расходка[[#This Row],[№]],Поиск_расходки[Индекс8],0)),"")</f>
        <v>Euphora</v>
      </c>
      <c r="Z5" s="114" t="str">
        <f>IFERROR(INDEX(Расходка[Наименование расходного материала],MATCH(Расходка[[#This Row],[№]],Поиск_расходки[Индекс9],0)),"")</f>
        <v>Euphora</v>
      </c>
      <c r="AA5" s="114" t="str">
        <f>IFERROR(INDEX(Расходка[Наименование расходного материала],MATCH(Расходка[[#This Row],[№]],Поиск_расходки[Индекс10],0)),"")</f>
        <v>Euphora</v>
      </c>
      <c r="AB5" s="114" t="str">
        <f>IFERROR(INDEX(Расходка[Наименование расходного материала],MATCH(Расходка[[#This Row],[№]],Поиск_расходки[Индекс11],0)),"")</f>
        <v>Euphora</v>
      </c>
      <c r="AC5" s="114" t="str">
        <f>IFERROR(INDEX(Расходка[Наименование расходного материала],MATCH(Расходка[[#This Row],[№]],Поиск_расходки[Индекс12],0)),"")</f>
        <v>Euphora</v>
      </c>
      <c r="AD5" s="114" t="str">
        <f>IFERROR(INDEX(Расходка[Наименование расходного материала],MATCH(Расходка[[#This Row],[№]],Поиск_расходки[Индекс13],0)),"")</f>
        <v>Euphora</v>
      </c>
      <c r="AF5" s="4" t="s">
        <v>5</v>
      </c>
      <c r="AG5" s="4" t="s">
        <v>401</v>
      </c>
      <c r="AI5" t="s">
        <v>189</v>
      </c>
      <c r="AJ5" t="s">
        <v>201</v>
      </c>
      <c r="AK5" t="str">
        <f t="shared" si="0"/>
        <v>Контраст: Юнигексол 350</v>
      </c>
      <c r="AM5" s="205">
        <v>136170</v>
      </c>
      <c r="AN5" s="206"/>
      <c r="AO5" s="207" t="s">
        <v>494</v>
      </c>
    </row>
    <row r="6" spans="1:42">
      <c r="A6">
        <f>ROW(Расходка[[#This Row],[Тип расходного материала ]])-1</f>
        <v>5</v>
      </c>
      <c r="B6" t="s">
        <v>5</v>
      </c>
      <c r="C6" s="1" t="s">
        <v>529</v>
      </c>
      <c r="E6" s="115">
        <f>IF(ISNUMBER(SEARCH('Карта учёта'!$B$13,Расходка[[#This Row],[Наименование расходного материала]])),MAX($E$1:E5)+1,0)</f>
        <v>0</v>
      </c>
      <c r="F6" s="115">
        <f>IF(ISNUMBER(SEARCH('Карта учёта'!$B$14,Расходка[[#This Row],[Наименование расходного материала]])),MAX($F$1:F5)+1,0)</f>
        <v>0</v>
      </c>
      <c r="G6" s="115">
        <f>IF(ISNUMBER(SEARCH('Карта учёта'!$B$15,Расходка[[#This Row],[Наименование расходного материала]])),MAX($G$1:G5)+1,0)</f>
        <v>0</v>
      </c>
      <c r="H6" s="115">
        <f>IF(ISNUMBER(SEARCH('Карта учёта'!#REF!,Расходка[[#This Row],[Наименование расходного материала]])),MAX($H$1:H5)+1,0)</f>
        <v>0</v>
      </c>
      <c r="I6" s="115">
        <f>IF(ISNUMBER(SEARCH('Карта учёта'!$B$17,Расходка[[#This Row],[Наименование расходного материала]])),MAX($I$1:I5)+1,0)</f>
        <v>0</v>
      </c>
      <c r="J6" s="115">
        <f>IF(ISNUMBER(SEARCH('Карта учёта'!$B$18,Расходка[[#This Row],[Наименование расходного материала]])),MAX($J$1:J5)+1,0)</f>
        <v>5</v>
      </c>
      <c r="K6" s="115">
        <f>IF(ISNUMBER(SEARCH('Карта учёта'!$B$16,Расходка[[#This Row],[Наименование расходного материала]])),MAX($K$1:K5)+1,0)</f>
        <v>0</v>
      </c>
      <c r="L6" s="115">
        <f>IF(ISNUMBER(SEARCH('Карта учёта'!$B$20,Расходка[[#This Row],[Наименование расходного материала]])),MAX($L$1:L5)+1,0)</f>
        <v>5</v>
      </c>
      <c r="M6" s="115">
        <f>IF(ISNUMBER(SEARCH('Карта учёта'!$B$21,Расходка[[#This Row],[Наименование расходного материала]])),MAX($M$1:M5)+1,0)</f>
        <v>5</v>
      </c>
      <c r="N6" s="115">
        <f>IF(ISNUMBER(SEARCH('Карта учёта'!$B$22,Расходка[[#This Row],[Наименование расходного материала]])),MAX($N$1:N5)+1,0)</f>
        <v>5</v>
      </c>
      <c r="O6" s="115">
        <f>IF(ISNUMBER(SEARCH('Карта учёта'!$B$23,Расходка[[#This Row],[Наименование расходного материала]])),MAX($O$1:O5)+1,0)</f>
        <v>5</v>
      </c>
      <c r="P6" s="115">
        <f>IF(ISNUMBER(SEARCH('Карта учёта'!$B$24,Расходка[[#This Row],[Наименование расходного материала]])),MAX($P$1:P5)+1,0)</f>
        <v>5</v>
      </c>
      <c r="Q6" s="115">
        <f>IF(ISNUMBER(SEARCH('Карта учёта'!$B$25,Расходка[[#This Row],[Наименование расходного материала]])),MAX($Q$1:Q5)+1,0)</f>
        <v>5</v>
      </c>
      <c r="R6" s="114" t="str">
        <f>IFERROR(INDEX(Расходка[Наименование расходного материала],MATCH(Расходка[[#This Row],[№]],Поиск_расходки[Индекс1],0)),"")</f>
        <v/>
      </c>
      <c r="S6" s="114" t="str">
        <f>IFERROR(INDEX(Расходка[Наименование расходного материала],MATCH(Расходка[[#This Row],[№]],Поиск_расходки[Индекс2],0)),"")</f>
        <v/>
      </c>
      <c r="T6" s="114" t="str">
        <f>IFERROR(INDEX(Расходка[Наименование расходного материала],MATCH(Расходка[[#This Row],[№]],Поиск_расходки[Индекс3],0)),"")</f>
        <v/>
      </c>
      <c r="U6" s="114" t="str">
        <f>IFERROR(INDEX(Расходка[Наименование расходного материала],MATCH(Расходка[[#This Row],[№]],Поиск_расходки[Индекс4],0)),"")</f>
        <v/>
      </c>
      <c r="V6" s="114" t="str">
        <f>IFERROR(INDEX(Расходка[Наименование расходного материала],MATCH(Расходка[[#This Row],[№]],Поиск_расходки[Индекс5],0)),"")</f>
        <v/>
      </c>
      <c r="W6" s="114" t="str">
        <f>IFERROR(INDEX(Расходка[Наименование расходного материала],MATCH(Расходка[[#This Row],[№]],Поиск_расходки[Индекс6],0)),"")</f>
        <v>NC Apollo</v>
      </c>
      <c r="X6" s="114" t="str">
        <f>IFERROR(INDEX(Расходка[Наименование расходного материала],MATCH(Расходка[[#This Row],[№]],Поиск_расходки[Индекс7],0)),"")</f>
        <v/>
      </c>
      <c r="Y6" s="114" t="str">
        <f>IFERROR(INDEX(Расходка[Наименование расходного материала],MATCH(Расходка[[#This Row],[№]],Поиск_расходки[Индекс8],0)),"")</f>
        <v>NC Apollo</v>
      </c>
      <c r="Z6" s="114" t="str">
        <f>IFERROR(INDEX(Расходка[Наименование расходного материала],MATCH(Расходка[[#This Row],[№]],Поиск_расходки[Индекс9],0)),"")</f>
        <v>NC Apollo</v>
      </c>
      <c r="AA6" s="114" t="str">
        <f>IFERROR(INDEX(Расходка[Наименование расходного материала],MATCH(Расходка[[#This Row],[№]],Поиск_расходки[Индекс10],0)),"")</f>
        <v>NC Apollo</v>
      </c>
      <c r="AB6" s="114" t="str">
        <f>IFERROR(INDEX(Расходка[Наименование расходного материала],MATCH(Расходка[[#This Row],[№]],Поиск_расходки[Индекс11],0)),"")</f>
        <v>NC Apollo</v>
      </c>
      <c r="AC6" s="114" t="str">
        <f>IFERROR(INDEX(Расходка[Наименование расходного материала],MATCH(Расходка[[#This Row],[№]],Поиск_расходки[Индекс12],0)),"")</f>
        <v>NC Apollo</v>
      </c>
      <c r="AD6" s="114" t="str">
        <f>IFERROR(INDEX(Расходка[Наименование расходного материала],MATCH(Расходка[[#This Row],[№]],Поиск_расходки[Индекс13],0)),"")</f>
        <v>NC Apollo</v>
      </c>
      <c r="AF6" s="4" t="s">
        <v>5</v>
      </c>
      <c r="AG6" s="4" t="s">
        <v>402</v>
      </c>
      <c r="AI6" t="s">
        <v>189</v>
      </c>
      <c r="AJ6" t="s">
        <v>202</v>
      </c>
      <c r="AK6" t="str">
        <f t="shared" si="0"/>
        <v>Контраст: Сканлюкс 370</v>
      </c>
      <c r="AM6" s="187">
        <v>135820</v>
      </c>
      <c r="AN6" s="2"/>
      <c r="AO6" t="s">
        <v>497</v>
      </c>
    </row>
    <row r="7" spans="1:42">
      <c r="A7">
        <f>ROW(Расходка[[#This Row],[Тип расходного материала ]])-1</f>
        <v>6</v>
      </c>
      <c r="B7" t="s">
        <v>5</v>
      </c>
      <c r="C7" t="s">
        <v>310</v>
      </c>
      <c r="E7" s="115">
        <f>IF(ISNUMBER(SEARCH('Карта учёта'!$B$13,Расходка[[#This Row],[Наименование расходного материала]])),MAX($E$1:E6)+1,0)</f>
        <v>0</v>
      </c>
      <c r="F7" s="115">
        <f>IF(ISNUMBER(SEARCH('Карта учёта'!$B$14,Расходка[[#This Row],[Наименование расходного материала]])),MAX($F$1:F6)+1,0)</f>
        <v>0</v>
      </c>
      <c r="G7" s="115">
        <f>IF(ISNUMBER(SEARCH('Карта учёта'!$B$15,Расходка[[#This Row],[Наименование расходного материала]])),MAX($G$1:G6)+1,0)</f>
        <v>0</v>
      </c>
      <c r="H7" s="115">
        <f>IF(ISNUMBER(SEARCH('Карта учёта'!#REF!,Расходка[[#This Row],[Наименование расходного материала]])),MAX($H$1:H6)+1,0)</f>
        <v>0</v>
      </c>
      <c r="I7" s="115">
        <f>IF(ISNUMBER(SEARCH('Карта учёта'!$B$17,Расходка[[#This Row],[Наименование расходного материала]])),MAX($I$1:I6)+1,0)</f>
        <v>0</v>
      </c>
      <c r="J7" s="115">
        <f>IF(ISNUMBER(SEARCH('Карта учёта'!$B$18,Расходка[[#This Row],[Наименование расходного материала]])),MAX($J$1:J6)+1,0)</f>
        <v>6</v>
      </c>
      <c r="K7" s="115">
        <f>IF(ISNUMBER(SEARCH('Карта учёта'!$B$16,Расходка[[#This Row],[Наименование расходного материала]])),MAX($K$1:K6)+1,0)</f>
        <v>0</v>
      </c>
      <c r="L7" s="115">
        <f>IF(ISNUMBER(SEARCH('Карта учёта'!$B$20,Расходка[[#This Row],[Наименование расходного материала]])),MAX($L$1:L6)+1,0)</f>
        <v>6</v>
      </c>
      <c r="M7" s="115">
        <f>IF(ISNUMBER(SEARCH('Карта учёта'!$B$21,Расходка[[#This Row],[Наименование расходного материала]])),MAX($M$1:M6)+1,0)</f>
        <v>6</v>
      </c>
      <c r="N7" s="115">
        <f>IF(ISNUMBER(SEARCH('Карта учёта'!$B$22,Расходка[[#This Row],[Наименование расходного материала]])),MAX($N$1:N6)+1,0)</f>
        <v>6</v>
      </c>
      <c r="O7" s="115">
        <f>IF(ISNUMBER(SEARCH('Карта учёта'!$B$23,Расходка[[#This Row],[Наименование расходного материала]])),MAX($O$1:O6)+1,0)</f>
        <v>6</v>
      </c>
      <c r="P7" s="115">
        <f>IF(ISNUMBER(SEARCH('Карта учёта'!$B$24,Расходка[[#This Row],[Наименование расходного материала]])),MAX($P$1:P6)+1,0)</f>
        <v>6</v>
      </c>
      <c r="Q7" s="115">
        <f>IF(ISNUMBER(SEARCH('Карта учёта'!$B$25,Расходка[[#This Row],[Наименование расходного материала]])),MAX($Q$1:Q6)+1,0)</f>
        <v>6</v>
      </c>
      <c r="R7" s="114" t="str">
        <f>IFERROR(INDEX(Расходка[Наименование расходного материала],MATCH(Расходка[[#This Row],[№]],Поиск_расходки[Индекс1],0)),"")</f>
        <v/>
      </c>
      <c r="S7" s="114" t="str">
        <f>IFERROR(INDEX(Расходка[Наименование расходного материала],MATCH(Расходка[[#This Row],[№]],Поиск_расходки[Индекс2],0)),"")</f>
        <v/>
      </c>
      <c r="T7" s="114" t="str">
        <f>IFERROR(INDEX(Расходка[Наименование расходного материала],MATCH(Расходка[[#This Row],[№]],Поиск_расходки[Индекс3],0)),"")</f>
        <v/>
      </c>
      <c r="U7" s="114" t="str">
        <f>IFERROR(INDEX(Расходка[Наименование расходного материала],MATCH(Расходка[[#This Row],[№]],Поиск_расходки[Индекс4],0)),"")</f>
        <v/>
      </c>
      <c r="V7" s="114" t="str">
        <f>IFERROR(INDEX(Расходка[Наименование расходного материала],MATCH(Расходка[[#This Row],[№]],Поиск_расходки[Индекс5],0)),"")</f>
        <v/>
      </c>
      <c r="W7" s="114" t="str">
        <f>IFERROR(INDEX(Расходка[Наименование расходного материала],MATCH(Расходка[[#This Row],[№]],Поиск_расходки[Индекс6],0)),"")</f>
        <v>NC Accuforce</v>
      </c>
      <c r="X7" s="114" t="str">
        <f>IFERROR(INDEX(Расходка[Наименование расходного материала],MATCH(Расходка[[#This Row],[№]],Поиск_расходки[Индекс7],0)),"")</f>
        <v/>
      </c>
      <c r="Y7" s="114" t="str">
        <f>IFERROR(INDEX(Расходка[Наименование расходного материала],MATCH(Расходка[[#This Row],[№]],Поиск_расходки[Индекс8],0)),"")</f>
        <v>NC Accuforce</v>
      </c>
      <c r="Z7" s="114" t="str">
        <f>IFERROR(INDEX(Расходка[Наименование расходного материала],MATCH(Расходка[[#This Row],[№]],Поиск_расходки[Индекс9],0)),"")</f>
        <v>NC Accuforce</v>
      </c>
      <c r="AA7" s="114" t="str">
        <f>IFERROR(INDEX(Расходка[Наименование расходного материала],MATCH(Расходка[[#This Row],[№]],Поиск_расходки[Индекс10],0)),"")</f>
        <v>NC Accuforce</v>
      </c>
      <c r="AB7" s="114" t="str">
        <f>IFERROR(INDEX(Расходка[Наименование расходного материала],MATCH(Расходка[[#This Row],[№]],Поиск_расходки[Индекс11],0)),"")</f>
        <v>NC Accuforce</v>
      </c>
      <c r="AC7" s="114" t="str">
        <f>IFERROR(INDEX(Расходка[Наименование расходного материала],MATCH(Расходка[[#This Row],[№]],Поиск_расходки[Индекс12],0)),"")</f>
        <v>NC Accuforce</v>
      </c>
      <c r="AD7" s="114" t="str">
        <f>IFERROR(INDEX(Расходка[Наименование расходного материала],MATCH(Расходка[[#This Row],[№]],Поиск_расходки[Индекс13],0)),"")</f>
        <v>NC Accuforce</v>
      </c>
      <c r="AF7" s="4" t="s">
        <v>5</v>
      </c>
      <c r="AG7" s="4" t="s">
        <v>403</v>
      </c>
      <c r="AI7" t="s">
        <v>189</v>
      </c>
      <c r="AJ7" t="s">
        <v>203</v>
      </c>
      <c r="AK7" t="str">
        <f t="shared" ref="AK7:AK8" si="1">CONCATENATE(AI7,AJ7)</f>
        <v>Контраст: Йогексол 350</v>
      </c>
      <c r="AM7" s="205">
        <v>155760</v>
      </c>
      <c r="AN7" s="206"/>
      <c r="AO7" s="207" t="s">
        <v>491</v>
      </c>
    </row>
    <row r="8" spans="1:42">
      <c r="A8">
        <f>ROW(Расходка[[#This Row],[Тип расходного материала ]])-1</f>
        <v>7</v>
      </c>
      <c r="B8" t="s">
        <v>5</v>
      </c>
      <c r="C8" s="1" t="s">
        <v>305</v>
      </c>
      <c r="E8" s="115">
        <f>IF(ISNUMBER(SEARCH('Карта учёта'!$B$13,Расходка[[#This Row],[Наименование расходного материала]])),MAX($E$1:E7)+1,0)</f>
        <v>0</v>
      </c>
      <c r="F8" s="115">
        <f>IF(ISNUMBER(SEARCH('Карта учёта'!$B$14,Расходка[[#This Row],[Наименование расходного материала]])),MAX($F$1:F7)+1,0)</f>
        <v>0</v>
      </c>
      <c r="G8" s="115">
        <f>IF(ISNUMBER(SEARCH('Карта учёта'!$B$15,Расходка[[#This Row],[Наименование расходного материала]])),MAX($G$1:G7)+1,0)</f>
        <v>0</v>
      </c>
      <c r="H8" s="115">
        <f>IF(ISNUMBER(SEARCH('Карта учёта'!#REF!,Расходка[[#This Row],[Наименование расходного материала]])),MAX($H$1:H7)+1,0)</f>
        <v>0</v>
      </c>
      <c r="I8" s="115">
        <f>IF(ISNUMBER(SEARCH('Карта учёта'!$B$17,Расходка[[#This Row],[Наименование расходного материала]])),MAX($I$1:I7)+1,0)</f>
        <v>0</v>
      </c>
      <c r="J8" s="115">
        <f>IF(ISNUMBER(SEARCH('Карта учёта'!$B$18,Расходка[[#This Row],[Наименование расходного материала]])),MAX($J$1:J7)+1,0)</f>
        <v>7</v>
      </c>
      <c r="K8" s="115">
        <f>IF(ISNUMBER(SEARCH('Карта учёта'!$B$16,Расходка[[#This Row],[Наименование расходного материала]])),MAX($K$1:K7)+1,0)</f>
        <v>0</v>
      </c>
      <c r="L8" s="115">
        <f>IF(ISNUMBER(SEARCH('Карта учёта'!$B$20,Расходка[[#This Row],[Наименование расходного материала]])),MAX($L$1:L7)+1,0)</f>
        <v>7</v>
      </c>
      <c r="M8" s="115">
        <f>IF(ISNUMBER(SEARCH('Карта учёта'!$B$21,Расходка[[#This Row],[Наименование расходного материала]])),MAX($M$1:M7)+1,0)</f>
        <v>7</v>
      </c>
      <c r="N8" s="115">
        <f>IF(ISNUMBER(SEARCH('Карта учёта'!$B$22,Расходка[[#This Row],[Наименование расходного материала]])),MAX($N$1:N7)+1,0)</f>
        <v>7</v>
      </c>
      <c r="O8" s="115">
        <f>IF(ISNUMBER(SEARCH('Карта учёта'!$B$23,Расходка[[#This Row],[Наименование расходного материала]])),MAX($O$1:O7)+1,0)</f>
        <v>7</v>
      </c>
      <c r="P8" s="115">
        <f>IF(ISNUMBER(SEARCH('Карта учёта'!$B$24,Расходка[[#This Row],[Наименование расходного материала]])),MAX($P$1:P7)+1,0)</f>
        <v>7</v>
      </c>
      <c r="Q8" s="115">
        <f>IF(ISNUMBER(SEARCH('Карта учёта'!$B$25,Расходка[[#This Row],[Наименование расходного материала]])),MAX($Q$1:Q7)+1,0)</f>
        <v>7</v>
      </c>
      <c r="R8" s="114" t="str">
        <f>IFERROR(INDEX(Расходка[Наименование расходного материала],MATCH(Расходка[[#This Row],[№]],Поиск_расходки[Индекс1],0)),"")</f>
        <v/>
      </c>
      <c r="S8" s="114" t="str">
        <f>IFERROR(INDEX(Расходка[Наименование расходного материала],MATCH(Расходка[[#This Row],[№]],Поиск_расходки[Индекс2],0)),"")</f>
        <v/>
      </c>
      <c r="T8" s="114" t="str">
        <f>IFERROR(INDEX(Расходка[Наименование расходного материала],MATCH(Расходка[[#This Row],[№]],Поиск_расходки[Индекс3],0)),"")</f>
        <v/>
      </c>
      <c r="U8" s="114" t="str">
        <f>IFERROR(INDEX(Расходка[Наименование расходного материала],MATCH(Расходка[[#This Row],[№]],Поиск_расходки[Индекс4],0)),"")</f>
        <v/>
      </c>
      <c r="V8" s="114" t="str">
        <f>IFERROR(INDEX(Расходка[Наименование расходного материала],MATCH(Расходка[[#This Row],[№]],Поиск_расходки[Индекс5],0)),"")</f>
        <v/>
      </c>
      <c r="W8" s="114" t="str">
        <f>IFERROR(INDEX(Расходка[Наименование расходного материала],MATCH(Расходка[[#This Row],[№]],Поиск_расходки[Индекс6],0)),"")</f>
        <v>NC Euphora</v>
      </c>
      <c r="X8" s="114" t="str">
        <f>IFERROR(INDEX(Расходка[Наименование расходного материала],MATCH(Расходка[[#This Row],[№]],Поиск_расходки[Индекс7],0)),"")</f>
        <v/>
      </c>
      <c r="Y8" s="114" t="str">
        <f>IFERROR(INDEX(Расходка[Наименование расходного материала],MATCH(Расходка[[#This Row],[№]],Поиск_расходки[Индекс8],0)),"")</f>
        <v>NC Euphora</v>
      </c>
      <c r="Z8" s="114" t="str">
        <f>IFERROR(INDEX(Расходка[Наименование расходного материала],MATCH(Расходка[[#This Row],[№]],Поиск_расходки[Индекс9],0)),"")</f>
        <v>NC Euphora</v>
      </c>
      <c r="AA8" s="114" t="str">
        <f>IFERROR(INDEX(Расходка[Наименование расходного материала],MATCH(Расходка[[#This Row],[№]],Поиск_расходки[Индекс10],0)),"")</f>
        <v>NC Euphora</v>
      </c>
      <c r="AB8" s="114" t="str">
        <f>IFERROR(INDEX(Расходка[Наименование расходного материала],MATCH(Расходка[[#This Row],[№]],Поиск_расходки[Индекс11],0)),"")</f>
        <v>NC Euphora</v>
      </c>
      <c r="AC8" s="114" t="str">
        <f>IFERROR(INDEX(Расходка[Наименование расходного материала],MATCH(Расходка[[#This Row],[№]],Поиск_расходки[Индекс12],0)),"")</f>
        <v>NC Euphora</v>
      </c>
      <c r="AD8" s="114" t="str">
        <f>IFERROR(INDEX(Расходка[Наименование расходного материала],MATCH(Расходка[[#This Row],[№]],Поиск_расходки[Индекс13],0)),"")</f>
        <v>NC Euphora</v>
      </c>
      <c r="AF8" s="4" t="s">
        <v>5</v>
      </c>
      <c r="AG8" s="4" t="s">
        <v>404</v>
      </c>
      <c r="AI8" t="s">
        <v>189</v>
      </c>
      <c r="AJ8" t="s">
        <v>204</v>
      </c>
      <c r="AK8" t="str">
        <f t="shared" si="1"/>
        <v>Контраст: Визипак 320</v>
      </c>
      <c r="AM8" s="187">
        <v>218140</v>
      </c>
      <c r="AN8" s="2"/>
      <c r="AO8" t="s">
        <v>89</v>
      </c>
    </row>
    <row r="9" spans="1:42">
      <c r="A9">
        <f>ROW(Расходка[[#This Row],[Тип расходного материала ]])-1</f>
        <v>8</v>
      </c>
      <c r="B9" t="s">
        <v>5</v>
      </c>
      <c r="C9" t="s">
        <v>275</v>
      </c>
      <c r="E9" s="115">
        <f>IF(ISNUMBER(SEARCH('Карта учёта'!$B$13,Расходка[[#This Row],[Наименование расходного материала]])),MAX($E$1:E8)+1,0)</f>
        <v>0</v>
      </c>
      <c r="F9" s="115">
        <f>IF(ISNUMBER(SEARCH('Карта учёта'!$B$14,Расходка[[#This Row],[Наименование расходного материала]])),MAX($F$1:F8)+1,0)</f>
        <v>0</v>
      </c>
      <c r="G9" s="115">
        <f>IF(ISNUMBER(SEARCH('Карта учёта'!$B$15,Расходка[[#This Row],[Наименование расходного материала]])),MAX($G$1:G8)+1,0)</f>
        <v>0</v>
      </c>
      <c r="H9" s="115">
        <f>IF(ISNUMBER(SEARCH('Карта учёта'!#REF!,Расходка[[#This Row],[Наименование расходного материала]])),MAX($H$1:H8)+1,0)</f>
        <v>0</v>
      </c>
      <c r="I9" s="115">
        <f>IF(ISNUMBER(SEARCH('Карта учёта'!$B$17,Расходка[[#This Row],[Наименование расходного материала]])),MAX($I$1:I8)+1,0)</f>
        <v>0</v>
      </c>
      <c r="J9" s="115">
        <f>IF(ISNUMBER(SEARCH('Карта учёта'!$B$18,Расходка[[#This Row],[Наименование расходного материала]])),MAX($J$1:J8)+1,0)</f>
        <v>8</v>
      </c>
      <c r="K9" s="115">
        <f>IF(ISNUMBER(SEARCH('Карта учёта'!$B$16,Расходка[[#This Row],[Наименование расходного материала]])),MAX($K$1:K8)+1,0)</f>
        <v>0</v>
      </c>
      <c r="L9" s="115">
        <f>IF(ISNUMBER(SEARCH('Карта учёта'!$B$20,Расходка[[#This Row],[Наименование расходного материала]])),MAX($L$1:L8)+1,0)</f>
        <v>8</v>
      </c>
      <c r="M9" s="115">
        <f>IF(ISNUMBER(SEARCH('Карта учёта'!$B$21,Расходка[[#This Row],[Наименование расходного материала]])),MAX($M$1:M8)+1,0)</f>
        <v>8</v>
      </c>
      <c r="N9" s="115">
        <f>IF(ISNUMBER(SEARCH('Карта учёта'!$B$22,Расходка[[#This Row],[Наименование расходного материала]])),MAX($N$1:N8)+1,0)</f>
        <v>8</v>
      </c>
      <c r="O9" s="115">
        <f>IF(ISNUMBER(SEARCH('Карта учёта'!$B$23,Расходка[[#This Row],[Наименование расходного материала]])),MAX($O$1:O8)+1,0)</f>
        <v>8</v>
      </c>
      <c r="P9" s="115">
        <f>IF(ISNUMBER(SEARCH('Карта учёта'!$B$24,Расходка[[#This Row],[Наименование расходного материала]])),MAX($P$1:P8)+1,0)</f>
        <v>8</v>
      </c>
      <c r="Q9" s="115">
        <f>IF(ISNUMBER(SEARCH('Карта учёта'!$B$25,Расходка[[#This Row],[Наименование расходного материала]])),MAX($Q$1:Q8)+1,0)</f>
        <v>8</v>
      </c>
      <c r="R9" s="114" t="str">
        <f>IFERROR(INDEX(Расходка[Наименование расходного материала],MATCH(Расходка[[#This Row],[№]],Поиск_расходки[Индекс1],0)),"")</f>
        <v/>
      </c>
      <c r="S9" s="114" t="str">
        <f>IFERROR(INDEX(Расходка[Наименование расходного материала],MATCH(Расходка[[#This Row],[№]],Поиск_расходки[Индекс2],0)),"")</f>
        <v/>
      </c>
      <c r="T9" s="114" t="str">
        <f>IFERROR(INDEX(Расходка[Наименование расходного материала],MATCH(Расходка[[#This Row],[№]],Поиск_расходки[Индекс3],0)),"")</f>
        <v/>
      </c>
      <c r="U9" s="114" t="str">
        <f>IFERROR(INDEX(Расходка[Наименование расходного материала],MATCH(Расходка[[#This Row],[№]],Поиск_расходки[Индекс4],0)),"")</f>
        <v/>
      </c>
      <c r="V9" s="114" t="str">
        <f>IFERROR(INDEX(Расходка[Наименование расходного материала],MATCH(Расходка[[#This Row],[№]],Поиск_расходки[Индекс5],0)),"")</f>
        <v/>
      </c>
      <c r="W9" s="114" t="str">
        <f>IFERROR(INDEX(Расходка[Наименование расходного материала],MATCH(Расходка[[#This Row],[№]],Поиск_расходки[Индекс6],0)),"")</f>
        <v>Sapphire</v>
      </c>
      <c r="X9" s="114" t="str">
        <f>IFERROR(INDEX(Расходка[Наименование расходного материала],MATCH(Расходка[[#This Row],[№]],Поиск_расходки[Индекс7],0)),"")</f>
        <v/>
      </c>
      <c r="Y9" s="114" t="str">
        <f>IFERROR(INDEX(Расходка[Наименование расходного материала],MATCH(Расходка[[#This Row],[№]],Поиск_расходки[Индекс8],0)),"")</f>
        <v>Sapphire</v>
      </c>
      <c r="Z9" s="114" t="str">
        <f>IFERROR(INDEX(Расходка[Наименование расходного материала],MATCH(Расходка[[#This Row],[№]],Поиск_расходки[Индекс9],0)),"")</f>
        <v>Sapphire</v>
      </c>
      <c r="AA9" s="114" t="str">
        <f>IFERROR(INDEX(Расходка[Наименование расходного материала],MATCH(Расходка[[#This Row],[№]],Поиск_расходки[Индекс10],0)),"")</f>
        <v>Sapphire</v>
      </c>
      <c r="AB9" s="114" t="str">
        <f>IFERROR(INDEX(Расходка[Наименование расходного материала],MATCH(Расходка[[#This Row],[№]],Поиск_расходки[Индекс11],0)),"")</f>
        <v>Sapphire</v>
      </c>
      <c r="AC9" s="114" t="str">
        <f>IFERROR(INDEX(Расходка[Наименование расходного материала],MATCH(Расходка[[#This Row],[№]],Поиск_расходки[Индекс12],0)),"")</f>
        <v>Sapphire</v>
      </c>
      <c r="AD9" s="114" t="str">
        <f>IFERROR(INDEX(Расходка[Наименование расходного материала],MATCH(Расходка[[#This Row],[№]],Поиск_расходки[Индекс13],0)),"")</f>
        <v>Sapphire</v>
      </c>
      <c r="AF9" s="4" t="s">
        <v>5</v>
      </c>
      <c r="AG9" s="4" t="s">
        <v>405</v>
      </c>
      <c r="AM9" s="187">
        <v>218160</v>
      </c>
      <c r="AN9" s="2"/>
      <c r="AO9" t="s">
        <v>90</v>
      </c>
    </row>
    <row r="10" spans="1:42">
      <c r="A10">
        <f>ROW(Расходка[[#This Row],[Тип расходного материала ]])-1</f>
        <v>9</v>
      </c>
      <c r="B10" t="s">
        <v>5</v>
      </c>
      <c r="C10" t="s">
        <v>311</v>
      </c>
      <c r="E10" s="115">
        <f>IF(ISNUMBER(SEARCH('Карта учёта'!$B$13,Расходка[[#This Row],[Наименование расходного материала]])),MAX($E$1:E9)+1,0)</f>
        <v>0</v>
      </c>
      <c r="F10" s="115">
        <f>IF(ISNUMBER(SEARCH('Карта учёта'!$B$14,Расходка[[#This Row],[Наименование расходного материала]])),MAX($F$1:F9)+1,0)</f>
        <v>0</v>
      </c>
      <c r="G10" s="115">
        <f>IF(ISNUMBER(SEARCH('Карта учёта'!$B$15,Расходка[[#This Row],[Наименование расходного материала]])),MAX($G$1:G9)+1,0)</f>
        <v>0</v>
      </c>
      <c r="H10" s="115">
        <f>IF(ISNUMBER(SEARCH('Карта учёта'!#REF!,Расходка[[#This Row],[Наименование расходного материала]])),MAX($H$1:H9)+1,0)</f>
        <v>0</v>
      </c>
      <c r="I10" s="115">
        <f>IF(ISNUMBER(SEARCH('Карта учёта'!$B$17,Расходка[[#This Row],[Наименование расходного материала]])),MAX($I$1:I9)+1,0)</f>
        <v>0</v>
      </c>
      <c r="J10" s="115">
        <f>IF(ISNUMBER(SEARCH('Карта учёта'!$B$18,Расходка[[#This Row],[Наименование расходного материала]])),MAX($J$1:J9)+1,0)</f>
        <v>9</v>
      </c>
      <c r="K10" s="115">
        <f>IF(ISNUMBER(SEARCH('Карта учёта'!$B$16,Расходка[[#This Row],[Наименование расходного материала]])),MAX($K$1:K9)+1,0)</f>
        <v>0</v>
      </c>
      <c r="L10" s="115">
        <f>IF(ISNUMBER(SEARCH('Карта учёта'!$B$20,Расходка[[#This Row],[Наименование расходного материала]])),MAX($L$1:L9)+1,0)</f>
        <v>9</v>
      </c>
      <c r="M10" s="115">
        <f>IF(ISNUMBER(SEARCH('Карта учёта'!$B$21,Расходка[[#This Row],[Наименование расходного материала]])),MAX($M$1:M9)+1,0)</f>
        <v>9</v>
      </c>
      <c r="N10" s="115">
        <f>IF(ISNUMBER(SEARCH('Карта учёта'!$B$22,Расходка[[#This Row],[Наименование расходного материала]])),MAX($N$1:N9)+1,0)</f>
        <v>9</v>
      </c>
      <c r="O10" s="115">
        <f>IF(ISNUMBER(SEARCH('Карта учёта'!$B$23,Расходка[[#This Row],[Наименование расходного материала]])),MAX($O$1:O9)+1,0)</f>
        <v>9</v>
      </c>
      <c r="P10" s="115">
        <f>IF(ISNUMBER(SEARCH('Карта учёта'!$B$24,Расходка[[#This Row],[Наименование расходного материала]])),MAX($P$1:P9)+1,0)</f>
        <v>9</v>
      </c>
      <c r="Q10" s="115">
        <f>IF(ISNUMBER(SEARCH('Карта учёта'!$B$25,Расходка[[#This Row],[Наименование расходного материала]])),MAX($Q$1:Q9)+1,0)</f>
        <v>9</v>
      </c>
      <c r="R10" s="114" t="str">
        <f>IFERROR(INDEX(Расходка[Наименование расходного материала],MATCH(Расходка[[#This Row],[№]],Поиск_расходки[Индекс1],0)),"")</f>
        <v/>
      </c>
      <c r="S10" s="114" t="str">
        <f>IFERROR(INDEX(Расходка[Наименование расходного материала],MATCH(Расходка[[#This Row],[№]],Поиск_расходки[Индекс2],0)),"")</f>
        <v/>
      </c>
      <c r="T10" s="114" t="str">
        <f>IFERROR(INDEX(Расходка[Наименование расходного материала],MATCH(Расходка[[#This Row],[№]],Поиск_расходки[Индекс3],0)),"")</f>
        <v/>
      </c>
      <c r="U10" s="114" t="str">
        <f>IFERROR(INDEX(Расходка[Наименование расходного материала],MATCH(Расходка[[#This Row],[№]],Поиск_расходки[Индекс4],0)),"")</f>
        <v/>
      </c>
      <c r="V10" s="114" t="str">
        <f>IFERROR(INDEX(Расходка[Наименование расходного материала],MATCH(Расходка[[#This Row],[№]],Поиск_расходки[Индекс5],0)),"")</f>
        <v/>
      </c>
      <c r="W10" s="114" t="str">
        <f>IFERROR(INDEX(Расходка[Наименование расходного материала],MATCH(Расходка[[#This Row],[№]],Поиск_расходки[Индекс6],0)),"")</f>
        <v>Sprinter Legend</v>
      </c>
      <c r="X10" s="114" t="str">
        <f>IFERROR(INDEX(Расходка[Наименование расходного материала],MATCH(Расходка[[#This Row],[№]],Поиск_расходки[Индекс7],0)),"")</f>
        <v/>
      </c>
      <c r="Y10" s="114" t="str">
        <f>IFERROR(INDEX(Расходка[Наименование расходного материала],MATCH(Расходка[[#This Row],[№]],Поиск_расходки[Индекс8],0)),"")</f>
        <v>Sprinter Legend</v>
      </c>
      <c r="Z10" s="114" t="str">
        <f>IFERROR(INDEX(Расходка[Наименование расходного материала],MATCH(Расходка[[#This Row],[№]],Поиск_расходки[Индекс9],0)),"")</f>
        <v>Sprinter Legend</v>
      </c>
      <c r="AA10" s="114" t="str">
        <f>IFERROR(INDEX(Расходка[Наименование расходного материала],MATCH(Расходка[[#This Row],[№]],Поиск_расходки[Индекс10],0)),"")</f>
        <v>Sprinter Legend</v>
      </c>
      <c r="AB10" s="114" t="str">
        <f>IFERROR(INDEX(Расходка[Наименование расходного материала],MATCH(Расходка[[#This Row],[№]],Поиск_расходки[Индекс11],0)),"")</f>
        <v>Sprinter Legend</v>
      </c>
      <c r="AC10" s="114" t="str">
        <f>IFERROR(INDEX(Расходка[Наименование расходного материала],MATCH(Расходка[[#This Row],[№]],Поиск_расходки[Индекс12],0)),"")</f>
        <v>Sprinter Legend</v>
      </c>
      <c r="AD10" s="114" t="str">
        <f>IFERROR(INDEX(Расходка[Наименование расходного материала],MATCH(Расходка[[#This Row],[№]],Поиск_расходки[Индекс13],0)),"")</f>
        <v>Sprinter Legend</v>
      </c>
      <c r="AF10" s="4" t="s">
        <v>5</v>
      </c>
      <c r="AG10" s="4" t="s">
        <v>406</v>
      </c>
      <c r="AI10" t="s">
        <v>353</v>
      </c>
      <c r="AM10" s="187">
        <v>194510</v>
      </c>
      <c r="AN10" s="2"/>
      <c r="AO10" t="s">
        <v>91</v>
      </c>
    </row>
    <row r="11" spans="1:42">
      <c r="A11">
        <f>ROW(Расходка[[#This Row],[Тип расходного материала ]])-1</f>
        <v>10</v>
      </c>
      <c r="B11" t="s">
        <v>5</v>
      </c>
      <c r="C11" t="s">
        <v>356</v>
      </c>
      <c r="E11" s="115">
        <f>IF(ISNUMBER(SEARCH('Карта учёта'!$B$13,Расходка[[#This Row],[Наименование расходного материала]])),MAX($E$1:E10)+1,0)</f>
        <v>0</v>
      </c>
      <c r="F11" s="115">
        <f>IF(ISNUMBER(SEARCH('Карта учёта'!$B$14,Расходка[[#This Row],[Наименование расходного материала]])),MAX($F$1:F10)+1,0)</f>
        <v>0</v>
      </c>
      <c r="G11" s="115">
        <f>IF(ISNUMBER(SEARCH('Карта учёта'!$B$15,Расходка[[#This Row],[Наименование расходного материала]])),MAX($G$1:G10)+1,0)</f>
        <v>0</v>
      </c>
      <c r="H11" s="115">
        <f>IF(ISNUMBER(SEARCH('Карта учёта'!#REF!,Расходка[[#This Row],[Наименование расходного материала]])),MAX($H$1:H10)+1,0)</f>
        <v>0</v>
      </c>
      <c r="I11" s="115">
        <f>IF(ISNUMBER(SEARCH('Карта учёта'!$B$17,Расходка[[#This Row],[Наименование расходного материала]])),MAX($I$1:I10)+1,0)</f>
        <v>0</v>
      </c>
      <c r="J11" s="115">
        <f>IF(ISNUMBER(SEARCH('Карта учёта'!$B$18,Расходка[[#This Row],[Наименование расходного материала]])),MAX($J$1:J10)+1,0)</f>
        <v>10</v>
      </c>
      <c r="K11" s="115">
        <f>IF(ISNUMBER(SEARCH('Карта учёта'!$B$16,Расходка[[#This Row],[Наименование расходного материала]])),MAX($K$1:K10)+1,0)</f>
        <v>0</v>
      </c>
      <c r="L11" s="115">
        <f>IF(ISNUMBER(SEARCH('Карта учёта'!$B$20,Расходка[[#This Row],[Наименование расходного материала]])),MAX($L$1:L10)+1,0)</f>
        <v>10</v>
      </c>
      <c r="M11" s="115">
        <f>IF(ISNUMBER(SEARCH('Карта учёта'!$B$21,Расходка[[#This Row],[Наименование расходного материала]])),MAX($M$1:M10)+1,0)</f>
        <v>10</v>
      </c>
      <c r="N11" s="115">
        <f>IF(ISNUMBER(SEARCH('Карта учёта'!$B$22,Расходка[[#This Row],[Наименование расходного материала]])),MAX($N$1:N10)+1,0)</f>
        <v>10</v>
      </c>
      <c r="O11" s="115">
        <f>IF(ISNUMBER(SEARCH('Карта учёта'!$B$23,Расходка[[#This Row],[Наименование расходного материала]])),MAX($O$1:O10)+1,0)</f>
        <v>10</v>
      </c>
      <c r="P11" s="115">
        <f>IF(ISNUMBER(SEARCH('Карта учёта'!$B$24,Расходка[[#This Row],[Наименование расходного материала]])),MAX($P$1:P10)+1,0)</f>
        <v>10</v>
      </c>
      <c r="Q11" s="115">
        <f>IF(ISNUMBER(SEARCH('Карта учёта'!$B$25,Расходка[[#This Row],[Наименование расходного материала]])),MAX($Q$1:Q10)+1,0)</f>
        <v>10</v>
      </c>
      <c r="R11" s="114" t="str">
        <f>IFERROR(INDEX(Расходка[Наименование расходного материала],MATCH(Расходка[[#This Row],[№]],Поиск_расходки[Индекс1],0)),"")</f>
        <v/>
      </c>
      <c r="S11" s="114" t="str">
        <f>IFERROR(INDEX(Расходка[Наименование расходного материала],MATCH(Расходка[[#This Row],[№]],Поиск_расходки[Индекс2],0)),"")</f>
        <v/>
      </c>
      <c r="T11" s="114" t="str">
        <f>IFERROR(INDEX(Расходка[Наименование расходного материала],MATCH(Расходка[[#This Row],[№]],Поиск_расходки[Индекс3],0)),"")</f>
        <v/>
      </c>
      <c r="U11" s="114" t="str">
        <f>IFERROR(INDEX(Расходка[Наименование расходного материала],MATCH(Расходка[[#This Row],[№]],Поиск_расходки[Индекс4],0)),"")</f>
        <v/>
      </c>
      <c r="V11" s="114" t="str">
        <f>IFERROR(INDEX(Расходка[Наименование расходного материала],MATCH(Расходка[[#This Row],[№]],Поиск_расходки[Индекс5],0)),"")</f>
        <v/>
      </c>
      <c r="W11" s="114" t="str">
        <f>IFERROR(INDEX(Расходка[Наименование расходного материала],MATCH(Расходка[[#This Row],[№]],Поиск_расходки[Индекс6],0)),"")</f>
        <v>SubMarine Rapido, Invatec</v>
      </c>
      <c r="X11" s="114" t="str">
        <f>IFERROR(INDEX(Расходка[Наименование расходного материала],MATCH(Расходка[[#This Row],[№]],Поиск_расходки[Индекс7],0)),"")</f>
        <v/>
      </c>
      <c r="Y11" s="114" t="str">
        <f>IFERROR(INDEX(Расходка[Наименование расходного материала],MATCH(Расходка[[#This Row],[№]],Поиск_расходки[Индекс8],0)),"")</f>
        <v>SubMarine Rapido, Invatec</v>
      </c>
      <c r="Z11" s="114" t="str">
        <f>IFERROR(INDEX(Расходка[Наименование расходного материала],MATCH(Расходка[[#This Row],[№]],Поиск_расходки[Индекс9],0)),"")</f>
        <v>SubMarine Rapido, Invatec</v>
      </c>
      <c r="AA11" s="114" t="str">
        <f>IFERROR(INDEX(Расходка[Наименование расходного материала],MATCH(Расходка[[#This Row],[№]],Поиск_расходки[Индекс10],0)),"")</f>
        <v>SubMarine Rapido, Invatec</v>
      </c>
      <c r="AB11" s="114" t="str">
        <f>IFERROR(INDEX(Расходка[Наименование расходного материала],MATCH(Расходка[[#This Row],[№]],Поиск_расходки[Индекс11],0)),"")</f>
        <v>SubMarine Rapido, Invatec</v>
      </c>
      <c r="AC11" s="114" t="str">
        <f>IFERROR(INDEX(Расходка[Наименование расходного материала],MATCH(Расходка[[#This Row],[№]],Поиск_расходки[Индекс12],0)),"")</f>
        <v>SubMarine Rapido, Invatec</v>
      </c>
      <c r="AD11" s="114" t="str">
        <f>IFERROR(INDEX(Расходка[Наименование расходного материала],MATCH(Расходка[[#This Row],[№]],Поиск_расходки[Индекс13],0)),"")</f>
        <v>SubMarine Rapido, Invatec</v>
      </c>
      <c r="AF11" s="4" t="s">
        <v>5</v>
      </c>
      <c r="AG11" s="4" t="s">
        <v>407</v>
      </c>
      <c r="AI11" t="s">
        <v>4</v>
      </c>
      <c r="AM11" s="187">
        <v>323500</v>
      </c>
      <c r="AN11" s="2"/>
      <c r="AO11" t="s">
        <v>92</v>
      </c>
    </row>
    <row r="12" spans="1:42">
      <c r="A12">
        <f>ROW(Расходка[[#This Row],[Тип расходного материала ]])-1</f>
        <v>11</v>
      </c>
      <c r="B12" t="s">
        <v>5</v>
      </c>
      <c r="C12" t="s">
        <v>372</v>
      </c>
      <c r="E12" s="115">
        <f>IF(ISNUMBER(SEARCH('Карта учёта'!$B$13,Расходка[[#This Row],[Наименование расходного материала]])),MAX($E$1:E11)+1,0)</f>
        <v>0</v>
      </c>
      <c r="F12" s="115">
        <f>IF(ISNUMBER(SEARCH('Карта учёта'!$B$14,Расходка[[#This Row],[Наименование расходного материала]])),MAX($F$1:F11)+1,0)</f>
        <v>0</v>
      </c>
      <c r="G12" s="115">
        <f>IF(ISNUMBER(SEARCH('Карта учёта'!$B$15,Расходка[[#This Row],[Наименование расходного материала]])),MAX($G$1:G11)+1,0)</f>
        <v>0</v>
      </c>
      <c r="H12" s="115">
        <f>IF(ISNUMBER(SEARCH('Карта учёта'!#REF!,Расходка[[#This Row],[Наименование расходного материала]])),MAX($H$1:H11)+1,0)</f>
        <v>0</v>
      </c>
      <c r="I12" s="115">
        <f>IF(ISNUMBER(SEARCH('Карта учёта'!$B$17,Расходка[[#This Row],[Наименование расходного материала]])),MAX($I$1:I11)+1,0)</f>
        <v>0</v>
      </c>
      <c r="J12" s="115">
        <f>IF(ISNUMBER(SEARCH('Карта учёта'!$B$18,Расходка[[#This Row],[Наименование расходного материала]])),MAX($J$1:J11)+1,0)</f>
        <v>11</v>
      </c>
      <c r="K12" s="115">
        <f>IF(ISNUMBER(SEARCH('Карта учёта'!$B$16,Расходка[[#This Row],[Наименование расходного материала]])),MAX($K$1:K11)+1,0)</f>
        <v>0</v>
      </c>
      <c r="L12" s="115">
        <f>IF(ISNUMBER(SEARCH('Карта учёта'!$B$20,Расходка[[#This Row],[Наименование расходного материала]])),MAX($L$1:L11)+1,0)</f>
        <v>11</v>
      </c>
      <c r="M12" s="115">
        <f>IF(ISNUMBER(SEARCH('Карта учёта'!$B$21,Расходка[[#This Row],[Наименование расходного материала]])),MAX($M$1:M11)+1,0)</f>
        <v>11</v>
      </c>
      <c r="N12" s="115">
        <f>IF(ISNUMBER(SEARCH('Карта учёта'!$B$22,Расходка[[#This Row],[Наименование расходного материала]])),MAX($N$1:N11)+1,0)</f>
        <v>11</v>
      </c>
      <c r="O12" s="115">
        <f>IF(ISNUMBER(SEARCH('Карта учёта'!$B$23,Расходка[[#This Row],[Наименование расходного материала]])),MAX($O$1:O11)+1,0)</f>
        <v>11</v>
      </c>
      <c r="P12" s="115">
        <f>IF(ISNUMBER(SEARCH('Карта учёта'!$B$24,Расходка[[#This Row],[Наименование расходного материала]])),MAX($P$1:P11)+1,0)</f>
        <v>11</v>
      </c>
      <c r="Q12" s="115">
        <f>IF(ISNUMBER(SEARCH('Карта учёта'!$B$25,Расходка[[#This Row],[Наименование расходного материала]])),MAX($Q$1:Q11)+1,0)</f>
        <v>11</v>
      </c>
      <c r="R12" s="114" t="str">
        <f>IFERROR(INDEX(Расходка[Наименование расходного материала],MATCH(Расходка[[#This Row],[№]],Поиск_расходки[Индекс1],0)),"")</f>
        <v/>
      </c>
      <c r="S12" s="114" t="str">
        <f>IFERROR(INDEX(Расходка[Наименование расходного материала],MATCH(Расходка[[#This Row],[№]],Поиск_расходки[Индекс2],0)),"")</f>
        <v/>
      </c>
      <c r="T12" s="114" t="str">
        <f>IFERROR(INDEX(Расходка[Наименование расходного материала],MATCH(Расходка[[#This Row],[№]],Поиск_расходки[Индекс3],0)),"")</f>
        <v/>
      </c>
      <c r="U12" s="114" t="str">
        <f>IFERROR(INDEX(Расходка[Наименование расходного материала],MATCH(Расходка[[#This Row],[№]],Поиск_расходки[Индекс4],0)),"")</f>
        <v/>
      </c>
      <c r="V12" s="114" t="str">
        <f>IFERROR(INDEX(Расходка[Наименование расходного материала],MATCH(Расходка[[#This Row],[№]],Поиск_расходки[Индекс5],0)),"")</f>
        <v/>
      </c>
      <c r="W12" s="114" t="str">
        <f>IFERROR(INDEX(Расходка[Наименование расходного материала],MATCH(Расходка[[#This Row],[№]],Поиск_расходки[Индекс6],0)),"")</f>
        <v>Колибри</v>
      </c>
      <c r="X12" s="114" t="str">
        <f>IFERROR(INDEX(Расходка[Наименование расходного материала],MATCH(Расходка[[#This Row],[№]],Поиск_расходки[Индекс7],0)),"")</f>
        <v/>
      </c>
      <c r="Y12" s="114" t="str">
        <f>IFERROR(INDEX(Расходка[Наименование расходного материала],MATCH(Расходка[[#This Row],[№]],Поиск_расходки[Индекс8],0)),"")</f>
        <v>Колибри</v>
      </c>
      <c r="Z12" s="114" t="str">
        <f>IFERROR(INDEX(Расходка[Наименование расходного материала],MATCH(Расходка[[#This Row],[№]],Поиск_расходки[Индекс9],0)),"")</f>
        <v>Колибри</v>
      </c>
      <c r="AA12" s="114" t="str">
        <f>IFERROR(INDEX(Расходка[Наименование расходного материала],MATCH(Расходка[[#This Row],[№]],Поиск_расходки[Индекс10],0)),"")</f>
        <v>Колибри</v>
      </c>
      <c r="AB12" s="114" t="str">
        <f>IFERROR(INDEX(Расходка[Наименование расходного материала],MATCH(Расходка[[#This Row],[№]],Поиск_расходки[Индекс11],0)),"")</f>
        <v>Колибри</v>
      </c>
      <c r="AC12" s="114" t="str">
        <f>IFERROR(INDEX(Расходка[Наименование расходного материала],MATCH(Расходка[[#This Row],[№]],Поиск_расходки[Индекс12],0)),"")</f>
        <v>Колибри</v>
      </c>
      <c r="AD12" s="114" t="str">
        <f>IFERROR(INDEX(Расходка[Наименование расходного материала],MATCH(Расходка[[#This Row],[№]],Поиск_расходки[Индекс13],0)),"")</f>
        <v>Колибри</v>
      </c>
      <c r="AF12" s="4" t="s">
        <v>5</v>
      </c>
      <c r="AG12" s="4" t="s">
        <v>408</v>
      </c>
      <c r="AI12" t="s">
        <v>3</v>
      </c>
      <c r="AM12" s="187">
        <v>323510</v>
      </c>
      <c r="AN12" s="2"/>
      <c r="AO12" t="s">
        <v>93</v>
      </c>
    </row>
    <row r="13" spans="1:42">
      <c r="A13">
        <f>ROW(Расходка[[#This Row],[Тип расходного материала ]])-1</f>
        <v>12</v>
      </c>
      <c r="B13" t="s">
        <v>5</v>
      </c>
      <c r="C13" t="s">
        <v>394</v>
      </c>
      <c r="D13" s="1"/>
      <c r="E13" s="115">
        <f>IF(ISNUMBER(SEARCH('Карта учёта'!$B$13,Расходка[[#This Row],[Наименование расходного материала]])),MAX($E$1:E12)+1,0)</f>
        <v>0</v>
      </c>
      <c r="F13" s="115">
        <f>IF(ISNUMBER(SEARCH('Карта учёта'!$B$14,Расходка[[#This Row],[Наименование расходного материала]])),MAX($F$1:F12)+1,0)</f>
        <v>0</v>
      </c>
      <c r="G13" s="115">
        <f>IF(ISNUMBER(SEARCH('Карта учёта'!$B$15,Расходка[[#This Row],[Наименование расходного материала]])),MAX($G$1:G12)+1,0)</f>
        <v>0</v>
      </c>
      <c r="H13" s="115">
        <f>IF(ISNUMBER(SEARCH('Карта учёта'!#REF!,Расходка[[#This Row],[Наименование расходного материала]])),MAX($H$1:H12)+1,0)</f>
        <v>0</v>
      </c>
      <c r="I13" s="115">
        <f>IF(ISNUMBER(SEARCH('Карта учёта'!$B$17,Расходка[[#This Row],[Наименование расходного материала]])),MAX($I$1:I12)+1,0)</f>
        <v>0</v>
      </c>
      <c r="J13" s="115">
        <f>IF(ISNUMBER(SEARCH('Карта учёта'!$B$18,Расходка[[#This Row],[Наименование расходного материала]])),MAX($J$1:J12)+1,0)</f>
        <v>12</v>
      </c>
      <c r="K13" s="115">
        <f>IF(ISNUMBER(SEARCH('Карта учёта'!$B$16,Расходка[[#This Row],[Наименование расходного материала]])),MAX($K$1:K12)+1,0)</f>
        <v>0</v>
      </c>
      <c r="L13" s="115">
        <f>IF(ISNUMBER(SEARCH('Карта учёта'!$B$20,Расходка[[#This Row],[Наименование расходного материала]])),MAX($L$1:L12)+1,0)</f>
        <v>12</v>
      </c>
      <c r="M13" s="115">
        <f>IF(ISNUMBER(SEARCH('Карта учёта'!$B$21,Расходка[[#This Row],[Наименование расходного материала]])),MAX($M$1:M12)+1,0)</f>
        <v>12</v>
      </c>
      <c r="N13" s="115">
        <f>IF(ISNUMBER(SEARCH('Карта учёта'!$B$22,Расходка[[#This Row],[Наименование расходного материала]])),MAX($N$1:N12)+1,0)</f>
        <v>12</v>
      </c>
      <c r="O13" s="115">
        <f>IF(ISNUMBER(SEARCH('Карта учёта'!$B$23,Расходка[[#This Row],[Наименование расходного материала]])),MAX($O$1:O12)+1,0)</f>
        <v>12</v>
      </c>
      <c r="P13" s="115">
        <f>IF(ISNUMBER(SEARCH('Карта учёта'!$B$24,Расходка[[#This Row],[Наименование расходного материала]])),MAX($P$1:P12)+1,0)</f>
        <v>12</v>
      </c>
      <c r="Q13" s="115">
        <f>IF(ISNUMBER(SEARCH('Карта учёта'!$B$25,Расходка[[#This Row],[Наименование расходного материала]])),MAX($Q$1:Q12)+1,0)</f>
        <v>12</v>
      </c>
      <c r="R13" s="114" t="str">
        <f>IFERROR(INDEX(Расходка[Наименование расходного материала],MATCH(Расходка[[#This Row],[№]],Поиск_расходки[Индекс1],0)),"")</f>
        <v/>
      </c>
      <c r="S13" s="114" t="str">
        <f>IFERROR(INDEX(Расходка[Наименование расходного материала],MATCH(Расходка[[#This Row],[№]],Поиск_расходки[Индекс2],0)),"")</f>
        <v/>
      </c>
      <c r="T13" s="114" t="str">
        <f>IFERROR(INDEX(Расходка[Наименование расходного материала],MATCH(Расходка[[#This Row],[№]],Поиск_расходки[Индекс3],0)),"")</f>
        <v/>
      </c>
      <c r="U13" s="114" t="str">
        <f>IFERROR(INDEX(Расходка[Наименование расходного материала],MATCH(Расходка[[#This Row],[№]],Поиск_расходки[Индекс4],0)),"")</f>
        <v/>
      </c>
      <c r="V13" s="114" t="str">
        <f>IFERROR(INDEX(Расходка[Наименование расходного материала],MATCH(Расходка[[#This Row],[№]],Поиск_расходки[Индекс5],0)),"")</f>
        <v/>
      </c>
      <c r="W13" s="114" t="str">
        <f>IFERROR(INDEX(Расходка[Наименование расходного материала],MATCH(Расходка[[#This Row],[№]],Поиск_расходки[Индекс6],0)),"")</f>
        <v xml:space="preserve">NC Колибри </v>
      </c>
      <c r="X13" s="114" t="str">
        <f>IFERROR(INDEX(Расходка[Наименование расходного материала],MATCH(Расходка[[#This Row],[№]],Поиск_расходки[Индекс7],0)),"")</f>
        <v/>
      </c>
      <c r="Y13" s="114" t="str">
        <f>IFERROR(INDEX(Расходка[Наименование расходного материала],MATCH(Расходка[[#This Row],[№]],Поиск_расходки[Индекс8],0)),"")</f>
        <v xml:space="preserve">NC Колибри </v>
      </c>
      <c r="Z13" s="114" t="str">
        <f>IFERROR(INDEX(Расходка[Наименование расходного материала],MATCH(Расходка[[#This Row],[№]],Поиск_расходки[Индекс9],0)),"")</f>
        <v xml:space="preserve">NC Колибри </v>
      </c>
      <c r="AA13" s="114" t="str">
        <f>IFERROR(INDEX(Расходка[Наименование расходного материала],MATCH(Расходка[[#This Row],[№]],Поиск_расходки[Индекс10],0)),"")</f>
        <v xml:space="preserve">NC Колибри </v>
      </c>
      <c r="AB13" s="114" t="str">
        <f>IFERROR(INDEX(Расходка[Наименование расходного материала],MATCH(Расходка[[#This Row],[№]],Поиск_расходки[Индекс11],0)),"")</f>
        <v xml:space="preserve">NC Колибри </v>
      </c>
      <c r="AC13" s="114" t="str">
        <f>IFERROR(INDEX(Расходка[Наименование расходного материала],MATCH(Расходка[[#This Row],[№]],Поиск_расходки[Индекс12],0)),"")</f>
        <v xml:space="preserve">NC Колибри </v>
      </c>
      <c r="AD13" s="114" t="str">
        <f>IFERROR(INDEX(Расходка[Наименование расходного материала],MATCH(Расходка[[#This Row],[№]],Поиск_расходки[Индекс13],0)),"")</f>
        <v xml:space="preserve">NC Колибри </v>
      </c>
      <c r="AF13" s="4" t="s">
        <v>5</v>
      </c>
      <c r="AG13" s="4" t="s">
        <v>409</v>
      </c>
      <c r="AI13" t="s">
        <v>6</v>
      </c>
      <c r="AN13" s="2"/>
    </row>
    <row r="14" spans="1:42">
      <c r="A14">
        <f>ROW(Расходка[[#This Row],[Тип расходного материала ]])-1</f>
        <v>13</v>
      </c>
      <c r="B14" t="s">
        <v>5</v>
      </c>
      <c r="C14" t="s">
        <v>510</v>
      </c>
      <c r="E14" s="115">
        <f>IF(ISNUMBER(SEARCH('Карта учёта'!$B$13,Расходка[[#This Row],[Наименование расходного материала]])),MAX($E$1:E13)+1,0)</f>
        <v>0</v>
      </c>
      <c r="F14" s="115">
        <f>IF(ISNUMBER(SEARCH('Карта учёта'!$B$14,Расходка[[#This Row],[Наименование расходного материала]])),MAX($F$1:F13)+1,0)</f>
        <v>0</v>
      </c>
      <c r="G14" s="115">
        <f>IF(ISNUMBER(SEARCH('Карта учёта'!$B$15,Расходка[[#This Row],[Наименование расходного материала]])),MAX($G$1:G13)+1,0)</f>
        <v>0</v>
      </c>
      <c r="H14" s="115">
        <f>IF(ISNUMBER(SEARCH('Карта учёта'!#REF!,Расходка[[#This Row],[Наименование расходного материала]])),MAX($H$1:H13)+1,0)</f>
        <v>0</v>
      </c>
      <c r="I14" s="115">
        <f>IF(ISNUMBER(SEARCH('Карта учёта'!$B$17,Расходка[[#This Row],[Наименование расходного материала]])),MAX($I$1:I13)+1,0)</f>
        <v>0</v>
      </c>
      <c r="J14" s="115">
        <f>IF(ISNUMBER(SEARCH('Карта учёта'!$B$18,Расходка[[#This Row],[Наименование расходного материала]])),MAX($J$1:J13)+1,0)</f>
        <v>13</v>
      </c>
      <c r="K14" s="115">
        <f>IF(ISNUMBER(SEARCH('Карта учёта'!$B$16,Расходка[[#This Row],[Наименование расходного материала]])),MAX($K$1:K13)+1,0)</f>
        <v>0</v>
      </c>
      <c r="L14" s="115">
        <f>IF(ISNUMBER(SEARCH('Карта учёта'!$B$20,Расходка[[#This Row],[Наименование расходного материала]])),MAX($L$1:L13)+1,0)</f>
        <v>13</v>
      </c>
      <c r="M14" s="115">
        <f>IF(ISNUMBER(SEARCH('Карта учёта'!$B$21,Расходка[[#This Row],[Наименование расходного материала]])),MAX($M$1:M13)+1,0)</f>
        <v>13</v>
      </c>
      <c r="N14" s="115">
        <f>IF(ISNUMBER(SEARCH('Карта учёта'!$B$22,Расходка[[#This Row],[Наименование расходного материала]])),MAX($N$1:N13)+1,0)</f>
        <v>13</v>
      </c>
      <c r="O14" s="115">
        <f>IF(ISNUMBER(SEARCH('Карта учёта'!$B$23,Расходка[[#This Row],[Наименование расходного материала]])),MAX($O$1:O13)+1,0)</f>
        <v>13</v>
      </c>
      <c r="P14" s="115">
        <f>IF(ISNUMBER(SEARCH('Карта учёта'!$B$24,Расходка[[#This Row],[Наименование расходного материала]])),MAX($P$1:P13)+1,0)</f>
        <v>13</v>
      </c>
      <c r="Q14" s="115">
        <f>IF(ISNUMBER(SEARCH('Карта учёта'!$B$25,Расходка[[#This Row],[Наименование расходного материала]])),MAX($Q$1:Q13)+1,0)</f>
        <v>13</v>
      </c>
      <c r="R14" s="114" t="str">
        <f>IFERROR(INDEX(Расходка[Наименование расходного материала],MATCH(Расходка[[#This Row],[№]],Поиск_расходки[Индекс1],0)),"")</f>
        <v/>
      </c>
      <c r="S14" s="114" t="str">
        <f>IFERROR(INDEX(Расходка[Наименование расходного материала],MATCH(Расходка[[#This Row],[№]],Поиск_расходки[Индекс2],0)),"")</f>
        <v/>
      </c>
      <c r="T14" s="114" t="str">
        <f>IFERROR(INDEX(Расходка[Наименование расходного материала],MATCH(Расходка[[#This Row],[№]],Поиск_расходки[Индекс3],0)),"")</f>
        <v/>
      </c>
      <c r="U14" s="114" t="str">
        <f>IFERROR(INDEX(Расходка[Наименование расходного материала],MATCH(Расходка[[#This Row],[№]],Поиск_расходки[Индекс4],0)),"")</f>
        <v/>
      </c>
      <c r="V14" s="114" t="str">
        <f>IFERROR(INDEX(Расходка[Наименование расходного материала],MATCH(Расходка[[#This Row],[№]],Поиск_расходки[Индекс5],0)),"")</f>
        <v/>
      </c>
      <c r="W14" s="114" t="str">
        <f>IFERROR(INDEX(Расходка[Наименование расходного материала],MATCH(Расходка[[#This Row],[№]],Поиск_расходки[Индекс6],0)),"")</f>
        <v>NC АКСИОМА</v>
      </c>
      <c r="X14" s="114" t="str">
        <f>IFERROR(INDEX(Расходка[Наименование расходного материала],MATCH(Расходка[[#This Row],[№]],Поиск_расходки[Индекс7],0)),"")</f>
        <v/>
      </c>
      <c r="Y14" s="114" t="str">
        <f>IFERROR(INDEX(Расходка[Наименование расходного материала],MATCH(Расходка[[#This Row],[№]],Поиск_расходки[Индекс8],0)),"")</f>
        <v>NC АКСИОМА</v>
      </c>
      <c r="Z14" s="114" t="str">
        <f>IFERROR(INDEX(Расходка[Наименование расходного материала],MATCH(Расходка[[#This Row],[№]],Поиск_расходки[Индекс9],0)),"")</f>
        <v>NC АКСИОМА</v>
      </c>
      <c r="AA14" s="114" t="str">
        <f>IFERROR(INDEX(Расходка[Наименование расходного материала],MATCH(Расходка[[#This Row],[№]],Поиск_расходки[Индекс10],0)),"")</f>
        <v>NC АКСИОМА</v>
      </c>
      <c r="AB14" s="114" t="str">
        <f>IFERROR(INDEX(Расходка[Наименование расходного материала],MATCH(Расходка[[#This Row],[№]],Поиск_расходки[Индекс11],0)),"")</f>
        <v>NC АКСИОМА</v>
      </c>
      <c r="AC14" s="114" t="str">
        <f>IFERROR(INDEX(Расходка[Наименование расходного материала],MATCH(Расходка[[#This Row],[№]],Поиск_расходки[Индекс12],0)),"")</f>
        <v>NC АКСИОМА</v>
      </c>
      <c r="AD14" s="114" t="str">
        <f>IFERROR(INDEX(Расходка[Наименование расходного материала],MATCH(Расходка[[#This Row],[№]],Поиск_расходки[Индекс13],0)),"")</f>
        <v>NC АКСИОМА</v>
      </c>
      <c r="AF14" s="4" t="s">
        <v>5</v>
      </c>
      <c r="AG14" s="4" t="s">
        <v>488</v>
      </c>
      <c r="AI14" t="s">
        <v>5</v>
      </c>
      <c r="AM14" s="187"/>
      <c r="AN14" s="2"/>
    </row>
    <row r="15" spans="1:42">
      <c r="A15">
        <f>ROW(Расходка[[#This Row],[Тип расходного материала ]])-1</f>
        <v>14</v>
      </c>
      <c r="B15" t="s">
        <v>306</v>
      </c>
      <c r="C15" s="1" t="s">
        <v>331</v>
      </c>
      <c r="E15" s="115">
        <f>IF(ISNUMBER(SEARCH('Карта учёта'!$B$13,Расходка[[#This Row],[Наименование расходного материала]])),MAX($E$1:E14)+1,0)</f>
        <v>0</v>
      </c>
      <c r="F15" s="115">
        <f>IF(ISNUMBER(SEARCH('Карта учёта'!$B$14,Расходка[[#This Row],[Наименование расходного материала]])),MAX($F$1:F14)+1,0)</f>
        <v>0</v>
      </c>
      <c r="G15" s="115">
        <f>IF(ISNUMBER(SEARCH('Карта учёта'!$B$15,Расходка[[#This Row],[Наименование расходного материала]])),MAX($G$1:G14)+1,0)</f>
        <v>0</v>
      </c>
      <c r="H15" s="115">
        <f>IF(ISNUMBER(SEARCH('Карта учёта'!#REF!,Расходка[[#This Row],[Наименование расходного материала]])),MAX($H$1:H14)+1,0)</f>
        <v>0</v>
      </c>
      <c r="I15" s="115">
        <f>IF(ISNUMBER(SEARCH('Карта учёта'!$B$17,Расходка[[#This Row],[Наименование расходного материала]])),MAX($I$1:I14)+1,0)</f>
        <v>0</v>
      </c>
      <c r="J15" s="115">
        <f>IF(ISNUMBER(SEARCH('Карта учёта'!$B$18,Расходка[[#This Row],[Наименование расходного материала]])),MAX($J$1:J14)+1,0)</f>
        <v>14</v>
      </c>
      <c r="K15" s="115">
        <f>IF(ISNUMBER(SEARCH('Карта учёта'!$B$16,Расходка[[#This Row],[Наименование расходного материала]])),MAX($K$1:K14)+1,0)</f>
        <v>0</v>
      </c>
      <c r="L15" s="115">
        <f>IF(ISNUMBER(SEARCH('Карта учёта'!$B$20,Расходка[[#This Row],[Наименование расходного материала]])),MAX($L$1:L14)+1,0)</f>
        <v>14</v>
      </c>
      <c r="M15" s="115">
        <f>IF(ISNUMBER(SEARCH('Карта учёта'!$B$21,Расходка[[#This Row],[Наименование расходного материала]])),MAX($M$1:M14)+1,0)</f>
        <v>14</v>
      </c>
      <c r="N15" s="115">
        <f>IF(ISNUMBER(SEARCH('Карта учёта'!$B$22,Расходка[[#This Row],[Наименование расходного материала]])),MAX($N$1:N14)+1,0)</f>
        <v>14</v>
      </c>
      <c r="O15" s="115">
        <f>IF(ISNUMBER(SEARCH('Карта учёта'!$B$23,Расходка[[#This Row],[Наименование расходного материала]])),MAX($O$1:O14)+1,0)</f>
        <v>14</v>
      </c>
      <c r="P15" s="115">
        <f>IF(ISNUMBER(SEARCH('Карта учёта'!$B$24,Расходка[[#This Row],[Наименование расходного материала]])),MAX($P$1:P14)+1,0)</f>
        <v>14</v>
      </c>
      <c r="Q15" s="115">
        <f>IF(ISNUMBER(SEARCH('Карта учёта'!$B$25,Расходка[[#This Row],[Наименование расходного материала]])),MAX($Q$1:Q14)+1,0)</f>
        <v>14</v>
      </c>
      <c r="R15" s="114" t="str">
        <f>IFERROR(INDEX(Расходка[Наименование расходного материала],MATCH(Расходка[[#This Row],[№]],Поиск_расходки[Индекс1],0)),"")</f>
        <v/>
      </c>
      <c r="S15" s="114" t="str">
        <f>IFERROR(INDEX(Расходка[Наименование расходного материала],MATCH(Расходка[[#This Row],[№]],Поиск_расходки[Индекс2],0)),"")</f>
        <v/>
      </c>
      <c r="T15" s="114" t="str">
        <f>IFERROR(INDEX(Расходка[Наименование расходного материала],MATCH(Расходка[[#This Row],[№]],Поиск_расходки[Индекс3],0)),"")</f>
        <v/>
      </c>
      <c r="U15" s="114" t="str">
        <f>IFERROR(INDEX(Расходка[Наименование расходного материала],MATCH(Расходка[[#This Row],[№]],Поиск_расходки[Индекс4],0)),"")</f>
        <v/>
      </c>
      <c r="V15" s="114" t="str">
        <f>IFERROR(INDEX(Расходка[Наименование расходного материала],MATCH(Расходка[[#This Row],[№]],Поиск_расходки[Индекс5],0)),"")</f>
        <v/>
      </c>
      <c r="W15" s="114" t="str">
        <f>IFERROR(INDEX(Расходка[Наименование расходного материала],MATCH(Расходка[[#This Row],[№]],Поиск_расходки[Индекс6],0)),"")</f>
        <v>Nitrex 260</v>
      </c>
      <c r="X15" s="114" t="str">
        <f>IFERROR(INDEX(Расходка[Наименование расходного материала],MATCH(Расходка[[#This Row],[№]],Поиск_расходки[Индекс7],0)),"")</f>
        <v/>
      </c>
      <c r="Y15" s="114" t="str">
        <f>IFERROR(INDEX(Расходка[Наименование расходного материала],MATCH(Расходка[[#This Row],[№]],Поиск_расходки[Индекс8],0)),"")</f>
        <v>Nitrex 260</v>
      </c>
      <c r="Z15" s="114" t="str">
        <f>IFERROR(INDEX(Расходка[Наименование расходного материала],MATCH(Расходка[[#This Row],[№]],Поиск_расходки[Индекс9],0)),"")</f>
        <v>Nitrex 260</v>
      </c>
      <c r="AA15" s="114" t="str">
        <f>IFERROR(INDEX(Расходка[Наименование расходного материала],MATCH(Расходка[[#This Row],[№]],Поиск_расходки[Индекс10],0)),"")</f>
        <v>Nitrex 260</v>
      </c>
      <c r="AB15" s="114" t="str">
        <f>IFERROR(INDEX(Расходка[Наименование расходного материала],MATCH(Расходка[[#This Row],[№]],Поиск_расходки[Индекс11],0)),"")</f>
        <v>Nitrex 260</v>
      </c>
      <c r="AC15" s="114" t="str">
        <f>IFERROR(INDEX(Расходка[Наименование расходного материала],MATCH(Расходка[[#This Row],[№]],Поиск_расходки[Индекс12],0)),"")</f>
        <v>Nitrex 260</v>
      </c>
      <c r="AD15" s="114" t="str">
        <f>IFERROR(INDEX(Расходка[Наименование расходного материала],MATCH(Расходка[[#This Row],[№]],Поиск_расходки[Индекс13],0)),"")</f>
        <v>Nitrex 260</v>
      </c>
      <c r="AF15" s="4" t="s">
        <v>5</v>
      </c>
      <c r="AG15" s="4" t="s">
        <v>410</v>
      </c>
      <c r="AI15" t="s">
        <v>94</v>
      </c>
    </row>
    <row r="16" spans="1:42">
      <c r="A16">
        <f>ROW(Расходка[[#This Row],[Тип расходного материала ]])-1</f>
        <v>15</v>
      </c>
      <c r="B16" t="s">
        <v>306</v>
      </c>
      <c r="C16" t="s">
        <v>363</v>
      </c>
      <c r="E16" s="115">
        <f>IF(ISNUMBER(SEARCH('Карта учёта'!$B$13,Расходка[[#This Row],[Наименование расходного материала]])),MAX($E$1:E15)+1,0)</f>
        <v>0</v>
      </c>
      <c r="F16" s="115">
        <f>IF(ISNUMBER(SEARCH('Карта учёта'!$B$14,Расходка[[#This Row],[Наименование расходного материала]])),MAX($F$1:F15)+1,0)</f>
        <v>0</v>
      </c>
      <c r="G16" s="115">
        <f>IF(ISNUMBER(SEARCH('Карта учёта'!$B$15,Расходка[[#This Row],[Наименование расходного материала]])),MAX($G$1:G15)+1,0)</f>
        <v>0</v>
      </c>
      <c r="H16" s="115">
        <f>IF(ISNUMBER(SEARCH('Карта учёта'!#REF!,Расходка[[#This Row],[Наименование расходного материала]])),MAX($H$1:H15)+1,0)</f>
        <v>0</v>
      </c>
      <c r="I16" s="115">
        <f>IF(ISNUMBER(SEARCH('Карта учёта'!$B$17,Расходка[[#This Row],[Наименование расходного материала]])),MAX($I$1:I15)+1,0)</f>
        <v>0</v>
      </c>
      <c r="J16" s="115">
        <f>IF(ISNUMBER(SEARCH('Карта учёта'!$B$18,Расходка[[#This Row],[Наименование расходного материала]])),MAX($J$1:J15)+1,0)</f>
        <v>15</v>
      </c>
      <c r="K16" s="115">
        <f>IF(ISNUMBER(SEARCH('Карта учёта'!$B$16,Расходка[[#This Row],[Наименование расходного материала]])),MAX($K$1:K15)+1,0)</f>
        <v>0</v>
      </c>
      <c r="L16" s="115">
        <f>IF(ISNUMBER(SEARCH('Карта учёта'!$B$20,Расходка[[#This Row],[Наименование расходного материала]])),MAX($L$1:L15)+1,0)</f>
        <v>15</v>
      </c>
      <c r="M16" s="115">
        <f>IF(ISNUMBER(SEARCH('Карта учёта'!$B$21,Расходка[[#This Row],[Наименование расходного материала]])),MAX($M$1:M15)+1,0)</f>
        <v>15</v>
      </c>
      <c r="N16" s="115">
        <f>IF(ISNUMBER(SEARCH('Карта учёта'!$B$22,Расходка[[#This Row],[Наименование расходного материала]])),MAX($N$1:N15)+1,0)</f>
        <v>15</v>
      </c>
      <c r="O16" s="115">
        <f>IF(ISNUMBER(SEARCH('Карта учёта'!$B$23,Расходка[[#This Row],[Наименование расходного материала]])),MAX($O$1:O15)+1,0)</f>
        <v>15</v>
      </c>
      <c r="P16" s="115">
        <f>IF(ISNUMBER(SEARCH('Карта учёта'!$B$24,Расходка[[#This Row],[Наименование расходного материала]])),MAX($P$1:P15)+1,0)</f>
        <v>15</v>
      </c>
      <c r="Q16" s="115">
        <f>IF(ISNUMBER(SEARCH('Карта учёта'!$B$25,Расходка[[#This Row],[Наименование расходного материала]])),MAX($Q$1:Q15)+1,0)</f>
        <v>15</v>
      </c>
      <c r="R16" s="114" t="str">
        <f>IFERROR(INDEX(Расходка[Наименование расходного материала],MATCH(Расходка[[#This Row],[№]],Поиск_расходки[Индекс1],0)),"")</f>
        <v/>
      </c>
      <c r="S16" s="114" t="str">
        <f>IFERROR(INDEX(Расходка[Наименование расходного материала],MATCH(Расходка[[#This Row],[№]],Поиск_расходки[Индекс2],0)),"")</f>
        <v/>
      </c>
      <c r="T16" s="114" t="str">
        <f>IFERROR(INDEX(Расходка[Наименование расходного материала],MATCH(Расходка[[#This Row],[№]],Поиск_расходки[Индекс3],0)),"")</f>
        <v/>
      </c>
      <c r="U16" s="114" t="str">
        <f>IFERROR(INDEX(Расходка[Наименование расходного материала],MATCH(Расходка[[#This Row],[№]],Поиск_расходки[Индекс4],0)),"")</f>
        <v/>
      </c>
      <c r="V16" s="114" t="str">
        <f>IFERROR(INDEX(Расходка[Наименование расходного материала],MATCH(Расходка[[#This Row],[№]],Поиск_расходки[Индекс5],0)),"")</f>
        <v/>
      </c>
      <c r="W16" s="114" t="str">
        <f>IFERROR(INDEX(Расходка[Наименование расходного материала],MATCH(Расходка[[#This Row],[№]],Поиск_расходки[Индекс6],0)),"")</f>
        <v>RadiFocus</v>
      </c>
      <c r="X16" s="114" t="str">
        <f>IFERROR(INDEX(Расходка[Наименование расходного материала],MATCH(Расходка[[#This Row],[№]],Поиск_расходки[Индекс7],0)),"")</f>
        <v/>
      </c>
      <c r="Y16" s="114" t="str">
        <f>IFERROR(INDEX(Расходка[Наименование расходного материала],MATCH(Расходка[[#This Row],[№]],Поиск_расходки[Индекс8],0)),"")</f>
        <v>RadiFocus</v>
      </c>
      <c r="Z16" s="114" t="str">
        <f>IFERROR(INDEX(Расходка[Наименование расходного материала],MATCH(Расходка[[#This Row],[№]],Поиск_расходки[Индекс9],0)),"")</f>
        <v>RadiFocus</v>
      </c>
      <c r="AA16" s="114" t="str">
        <f>IFERROR(INDEX(Расходка[Наименование расходного материала],MATCH(Расходка[[#This Row],[№]],Поиск_расходки[Индекс10],0)),"")</f>
        <v>RadiFocus</v>
      </c>
      <c r="AB16" s="114" t="str">
        <f>IFERROR(INDEX(Расходка[Наименование расходного материала],MATCH(Расходка[[#This Row],[№]],Поиск_расходки[Индекс11],0)),"")</f>
        <v>RadiFocus</v>
      </c>
      <c r="AC16" s="114" t="str">
        <f>IFERROR(INDEX(Расходка[Наименование расходного материала],MATCH(Расходка[[#This Row],[№]],Поиск_расходки[Индекс12],0)),"")</f>
        <v>RadiFocus</v>
      </c>
      <c r="AD16" s="114" t="str">
        <f>IFERROR(INDEX(Расходка[Наименование расходного материала],MATCH(Расходка[[#This Row],[№]],Поиск_расходки[Индекс13],0)),"")</f>
        <v>RadiFocus</v>
      </c>
      <c r="AF16" s="4" t="s">
        <v>5</v>
      </c>
      <c r="AG16" s="4" t="s">
        <v>411</v>
      </c>
      <c r="AI16" t="s">
        <v>304</v>
      </c>
    </row>
    <row r="17" spans="1:35">
      <c r="A17">
        <f>ROW(Расходка[[#This Row],[Тип расходного материала ]])-1</f>
        <v>16</v>
      </c>
      <c r="B17" t="s">
        <v>304</v>
      </c>
      <c r="C17" t="s">
        <v>330</v>
      </c>
      <c r="E17" s="115">
        <f>IF(ISNUMBER(SEARCH('Карта учёта'!$B$13,Расходка[[#This Row],[Наименование расходного материала]])),MAX($E$1:E16)+1,0)</f>
        <v>0</v>
      </c>
      <c r="F17" s="115">
        <f>IF(ISNUMBER(SEARCH('Карта учёта'!$B$14,Расходка[[#This Row],[Наименование расходного материала]])),MAX($F$1:F16)+1,0)</f>
        <v>0</v>
      </c>
      <c r="G17" s="115">
        <f>IF(ISNUMBER(SEARCH('Карта учёта'!$B$15,Расходка[[#This Row],[Наименование расходного материала]])),MAX($G$1:G16)+1,0)</f>
        <v>0</v>
      </c>
      <c r="H17" s="115">
        <f>IF(ISNUMBER(SEARCH('Карта учёта'!#REF!,Расходка[[#This Row],[Наименование расходного материала]])),MAX($H$1:H16)+1,0)</f>
        <v>0</v>
      </c>
      <c r="I17" s="115">
        <f>IF(ISNUMBER(SEARCH('Карта учёта'!$B$17,Расходка[[#This Row],[Наименование расходного материала]])),MAX($I$1:I16)+1,0)</f>
        <v>0</v>
      </c>
      <c r="J17" s="115">
        <f>IF(ISNUMBER(SEARCH('Карта учёта'!$B$18,Расходка[[#This Row],[Наименование расходного материала]])),MAX($J$1:J16)+1,0)</f>
        <v>16</v>
      </c>
      <c r="K17" s="115">
        <f>IF(ISNUMBER(SEARCH('Карта учёта'!$B$16,Расходка[[#This Row],[Наименование расходного материала]])),MAX($K$1:K16)+1,0)</f>
        <v>0</v>
      </c>
      <c r="L17" s="115">
        <f>IF(ISNUMBER(SEARCH('Карта учёта'!$B$20,Расходка[[#This Row],[Наименование расходного материала]])),MAX($L$1:L16)+1,0)</f>
        <v>16</v>
      </c>
      <c r="M17" s="115">
        <f>IF(ISNUMBER(SEARCH('Карта учёта'!$B$21,Расходка[[#This Row],[Наименование расходного материала]])),MAX($M$1:M16)+1,0)</f>
        <v>16</v>
      </c>
      <c r="N17" s="115">
        <f>IF(ISNUMBER(SEARCH('Карта учёта'!$B$22,Расходка[[#This Row],[Наименование расходного материала]])),MAX($N$1:N16)+1,0)</f>
        <v>16</v>
      </c>
      <c r="O17" s="115">
        <f>IF(ISNUMBER(SEARCH('Карта учёта'!$B$23,Расходка[[#This Row],[Наименование расходного материала]])),MAX($O$1:O16)+1,0)</f>
        <v>16</v>
      </c>
      <c r="P17" s="115">
        <f>IF(ISNUMBER(SEARCH('Карта учёта'!$B$24,Расходка[[#This Row],[Наименование расходного материала]])),MAX($P$1:P16)+1,0)</f>
        <v>16</v>
      </c>
      <c r="Q17" s="115">
        <f>IF(ISNUMBER(SEARCH('Карта учёта'!$B$25,Расходка[[#This Row],[Наименование расходного материала]])),MAX($Q$1:Q16)+1,0)</f>
        <v>16</v>
      </c>
      <c r="R17" s="114" t="str">
        <f>IFERROR(INDEX(Расходка[Наименование расходного материала],MATCH(Расходка[[#This Row],[№]],Поиск_расходки[Индекс1],0)),"")</f>
        <v/>
      </c>
      <c r="S17" s="114" t="str">
        <f>IFERROR(INDEX(Расходка[Наименование расходного материала],MATCH(Расходка[[#This Row],[№]],Поиск_расходки[Индекс2],0)),"")</f>
        <v/>
      </c>
      <c r="T17" s="114" t="str">
        <f>IFERROR(INDEX(Расходка[Наименование расходного материала],MATCH(Расходка[[#This Row],[№]],Поиск_расходки[Индекс3],0)),"")</f>
        <v/>
      </c>
      <c r="U17" s="114" t="str">
        <f>IFERROR(INDEX(Расходка[Наименование расходного материала],MATCH(Расходка[[#This Row],[№]],Поиск_расходки[Индекс4],0)),"")</f>
        <v/>
      </c>
      <c r="V17" s="114" t="str">
        <f>IFERROR(INDEX(Расходка[Наименование расходного материала],MATCH(Расходка[[#This Row],[№]],Поиск_расходки[Индекс5],0)),"")</f>
        <v/>
      </c>
      <c r="W17" s="114" t="str">
        <f>IFERROR(INDEX(Расходка[Наименование расходного материала],MATCH(Расходка[[#This Row],[№]],Поиск_расходки[Индекс6],0)),"")</f>
        <v>BasixCOMPAK</v>
      </c>
      <c r="X17" s="114" t="str">
        <f>IFERROR(INDEX(Расходка[Наименование расходного материала],MATCH(Расходка[[#This Row],[№]],Поиск_расходки[Индекс7],0)),"")</f>
        <v/>
      </c>
      <c r="Y17" s="114" t="str">
        <f>IFERROR(INDEX(Расходка[Наименование расходного материала],MATCH(Расходка[[#This Row],[№]],Поиск_расходки[Индекс8],0)),"")</f>
        <v>BasixCOMPAK</v>
      </c>
      <c r="Z17" s="114" t="str">
        <f>IFERROR(INDEX(Расходка[Наименование расходного материала],MATCH(Расходка[[#This Row],[№]],Поиск_расходки[Индекс9],0)),"")</f>
        <v>BasixCOMPAK</v>
      </c>
      <c r="AA17" s="114" t="str">
        <f>IFERROR(INDEX(Расходка[Наименование расходного материала],MATCH(Расходка[[#This Row],[№]],Поиск_расходки[Индекс10],0)),"")</f>
        <v>BasixCOMPAK</v>
      </c>
      <c r="AB17" s="114" t="str">
        <f>IFERROR(INDEX(Расходка[Наименование расходного материала],MATCH(Расходка[[#This Row],[№]],Поиск_расходки[Индекс11],0)),"")</f>
        <v>BasixCOMPAK</v>
      </c>
      <c r="AC17" s="114" t="str">
        <f>IFERROR(INDEX(Расходка[Наименование расходного материала],MATCH(Расходка[[#This Row],[№]],Поиск_расходки[Индекс12],0)),"")</f>
        <v>BasixCOMPAK</v>
      </c>
      <c r="AD17" s="114" t="str">
        <f>IFERROR(INDEX(Расходка[Наименование расходного материала],MATCH(Расходка[[#This Row],[№]],Поиск_расходки[Индекс13],0)),"")</f>
        <v>BasixCOMPAK</v>
      </c>
      <c r="AF17" s="4" t="s">
        <v>5</v>
      </c>
      <c r="AG17" s="4" t="s">
        <v>412</v>
      </c>
      <c r="AI17" t="s">
        <v>205</v>
      </c>
    </row>
    <row r="18" spans="1:35">
      <c r="A18">
        <f>ROW(Расходка[[#This Row],[Тип расходного материала ]])-1</f>
        <v>17</v>
      </c>
      <c r="B18" t="s">
        <v>304</v>
      </c>
      <c r="C18" t="s">
        <v>360</v>
      </c>
      <c r="D18" s="1"/>
      <c r="E18" s="115">
        <f>IF(ISNUMBER(SEARCH('Карта учёта'!$B$13,Расходка[[#This Row],[Наименование расходного материала]])),MAX($E$1:E17)+1,0)</f>
        <v>0</v>
      </c>
      <c r="F18" s="115">
        <f>IF(ISNUMBER(SEARCH('Карта учёта'!$B$14,Расходка[[#This Row],[Наименование расходного материала]])),MAX($F$1:F17)+1,0)</f>
        <v>0</v>
      </c>
      <c r="G18" s="115">
        <f>IF(ISNUMBER(SEARCH('Карта учёта'!$B$15,Расходка[[#This Row],[Наименование расходного материала]])),MAX($G$1:G17)+1,0)</f>
        <v>0</v>
      </c>
      <c r="H18" s="115">
        <f>IF(ISNUMBER(SEARCH('Карта учёта'!#REF!,Расходка[[#This Row],[Наименование расходного материала]])),MAX($H$1:H17)+1,0)</f>
        <v>0</v>
      </c>
      <c r="I18" s="115">
        <f>IF(ISNUMBER(SEARCH('Карта учёта'!$B$17,Расходка[[#This Row],[Наименование расходного материала]])),MAX($I$1:I17)+1,0)</f>
        <v>0</v>
      </c>
      <c r="J18" s="115">
        <f>IF(ISNUMBER(SEARCH('Карта учёта'!$B$18,Расходка[[#This Row],[Наименование расходного материала]])),MAX($J$1:J17)+1,0)</f>
        <v>17</v>
      </c>
      <c r="K18" s="115">
        <f>IF(ISNUMBER(SEARCH('Карта учёта'!$B$16,Расходка[[#This Row],[Наименование расходного материала]])),MAX($K$1:K17)+1,0)</f>
        <v>0</v>
      </c>
      <c r="L18" s="115">
        <f>IF(ISNUMBER(SEARCH('Карта учёта'!$B$20,Расходка[[#This Row],[Наименование расходного материала]])),MAX($L$1:L17)+1,0)</f>
        <v>17</v>
      </c>
      <c r="M18" s="115">
        <f>IF(ISNUMBER(SEARCH('Карта учёта'!$B$21,Расходка[[#This Row],[Наименование расходного материала]])),MAX($M$1:M17)+1,0)</f>
        <v>17</v>
      </c>
      <c r="N18" s="115">
        <f>IF(ISNUMBER(SEARCH('Карта учёта'!$B$22,Расходка[[#This Row],[Наименование расходного материала]])),MAX($N$1:N17)+1,0)</f>
        <v>17</v>
      </c>
      <c r="O18" s="115">
        <f>IF(ISNUMBER(SEARCH('Карта учёта'!$B$23,Расходка[[#This Row],[Наименование расходного материала]])),MAX($O$1:O17)+1,0)</f>
        <v>17</v>
      </c>
      <c r="P18" s="115">
        <f>IF(ISNUMBER(SEARCH('Карта учёта'!$B$24,Расходка[[#This Row],[Наименование расходного материала]])),MAX($P$1:P17)+1,0)</f>
        <v>17</v>
      </c>
      <c r="Q18" s="115">
        <f>IF(ISNUMBER(SEARCH('Карта учёта'!$B$25,Расходка[[#This Row],[Наименование расходного материала]])),MAX($Q$1:Q17)+1,0)</f>
        <v>17</v>
      </c>
      <c r="R18" s="114" t="str">
        <f>IFERROR(INDEX(Расходка[Наименование расходного материала],MATCH(Расходка[[#This Row],[№]],Поиск_расходки[Индекс1],0)),"")</f>
        <v/>
      </c>
      <c r="S18" s="114" t="str">
        <f>IFERROR(INDEX(Расходка[Наименование расходного материала],MATCH(Расходка[[#This Row],[№]],Поиск_расходки[Индекс2],0)),"")</f>
        <v/>
      </c>
      <c r="T18" s="114" t="str">
        <f>IFERROR(INDEX(Расходка[Наименование расходного материала],MATCH(Расходка[[#This Row],[№]],Поиск_расходки[Индекс3],0)),"")</f>
        <v/>
      </c>
      <c r="U18" s="114" t="str">
        <f>IFERROR(INDEX(Расходка[Наименование расходного материала],MATCH(Расходка[[#This Row],[№]],Поиск_расходки[Индекс4],0)),"")</f>
        <v/>
      </c>
      <c r="V18" s="114" t="str">
        <f>IFERROR(INDEX(Расходка[Наименование расходного материала],MATCH(Расходка[[#This Row],[№]],Поиск_расходки[Индекс5],0)),"")</f>
        <v/>
      </c>
      <c r="W18" s="114" t="str">
        <f>IFERROR(INDEX(Расходка[Наименование расходного материала],MATCH(Расходка[[#This Row],[№]],Поиск_расходки[Индекс6],0)),"")</f>
        <v>BasixTOUCH</v>
      </c>
      <c r="X18" s="114" t="str">
        <f>IFERROR(INDEX(Расходка[Наименование расходного материала],MATCH(Расходка[[#This Row],[№]],Поиск_расходки[Индекс7],0)),"")</f>
        <v/>
      </c>
      <c r="Y18" s="114" t="str">
        <f>IFERROR(INDEX(Расходка[Наименование расходного материала],MATCH(Расходка[[#This Row],[№]],Поиск_расходки[Индекс8],0)),"")</f>
        <v>BasixTOUCH</v>
      </c>
      <c r="Z18" s="114" t="str">
        <f>IFERROR(INDEX(Расходка[Наименование расходного материала],MATCH(Расходка[[#This Row],[№]],Поиск_расходки[Индекс9],0)),"")</f>
        <v>BasixTOUCH</v>
      </c>
      <c r="AA18" s="114" t="str">
        <f>IFERROR(INDEX(Расходка[Наименование расходного материала],MATCH(Расходка[[#This Row],[№]],Поиск_расходки[Индекс10],0)),"")</f>
        <v>BasixTOUCH</v>
      </c>
      <c r="AB18" s="114" t="str">
        <f>IFERROR(INDEX(Расходка[Наименование расходного материала],MATCH(Расходка[[#This Row],[№]],Поиск_расходки[Индекс11],0)),"")</f>
        <v>BasixTOUCH</v>
      </c>
      <c r="AC18" s="114" t="str">
        <f>IFERROR(INDEX(Расходка[Наименование расходного материала],MATCH(Расходка[[#This Row],[№]],Поиск_расходки[Индекс12],0)),"")</f>
        <v>BasixTOUCH</v>
      </c>
      <c r="AD18" s="114" t="str">
        <f>IFERROR(INDEX(Расходка[Наименование расходного материала],MATCH(Расходка[[#This Row],[№]],Поиск_расходки[Индекс13],0)),"")</f>
        <v>BasixTOUCH</v>
      </c>
      <c r="AF18" s="4" t="s">
        <v>5</v>
      </c>
      <c r="AG18" s="4" t="s">
        <v>413</v>
      </c>
      <c r="AI18" t="s">
        <v>95</v>
      </c>
    </row>
    <row r="19" spans="1:35">
      <c r="A19">
        <f>ROW(Расходка[[#This Row],[Тип расходного материала ]])-1</f>
        <v>18</v>
      </c>
      <c r="B19" t="s">
        <v>304</v>
      </c>
      <c r="C19" t="s">
        <v>352</v>
      </c>
      <c r="E19" s="115">
        <f>IF(ISNUMBER(SEARCH('Карта учёта'!$B$13,Расходка[[#This Row],[Наименование расходного материала]])),MAX($E$1:E18)+1,0)</f>
        <v>0</v>
      </c>
      <c r="F19" s="115">
        <f>IF(ISNUMBER(SEARCH('Карта учёта'!$B$14,Расходка[[#This Row],[Наименование расходного материала]])),MAX($F$1:F18)+1,0)</f>
        <v>0</v>
      </c>
      <c r="G19" s="115">
        <f>IF(ISNUMBER(SEARCH('Карта учёта'!$B$15,Расходка[[#This Row],[Наименование расходного материала]])),MAX($G$1:G18)+1,0)</f>
        <v>0</v>
      </c>
      <c r="H19" s="115">
        <f>IF(ISNUMBER(SEARCH('Карта учёта'!#REF!,Расходка[[#This Row],[Наименование расходного материала]])),MAX($H$1:H18)+1,0)</f>
        <v>0</v>
      </c>
      <c r="I19" s="115">
        <f>IF(ISNUMBER(SEARCH('Карта учёта'!$B$17,Расходка[[#This Row],[Наименование расходного материала]])),MAX($I$1:I18)+1,0)</f>
        <v>0</v>
      </c>
      <c r="J19" s="115">
        <f>IF(ISNUMBER(SEARCH('Карта учёта'!$B$18,Расходка[[#This Row],[Наименование расходного материала]])),MAX($J$1:J18)+1,0)</f>
        <v>18</v>
      </c>
      <c r="K19" s="115">
        <f>IF(ISNUMBER(SEARCH('Карта учёта'!$B$16,Расходка[[#This Row],[Наименование расходного материала]])),MAX($K$1:K18)+1,0)</f>
        <v>0</v>
      </c>
      <c r="L19" s="115">
        <f>IF(ISNUMBER(SEARCH('Карта учёта'!$B$20,Расходка[[#This Row],[Наименование расходного материала]])),MAX($L$1:L18)+1,0)</f>
        <v>18</v>
      </c>
      <c r="M19" s="115">
        <f>IF(ISNUMBER(SEARCH('Карта учёта'!$B$21,Расходка[[#This Row],[Наименование расходного материала]])),MAX($M$1:M18)+1,0)</f>
        <v>18</v>
      </c>
      <c r="N19" s="115">
        <f>IF(ISNUMBER(SEARCH('Карта учёта'!$B$22,Расходка[[#This Row],[Наименование расходного материала]])),MAX($N$1:N18)+1,0)</f>
        <v>18</v>
      </c>
      <c r="O19" s="115">
        <f>IF(ISNUMBER(SEARCH('Карта учёта'!$B$23,Расходка[[#This Row],[Наименование расходного материала]])),MAX($O$1:O18)+1,0)</f>
        <v>18</v>
      </c>
      <c r="P19" s="115">
        <f>IF(ISNUMBER(SEARCH('Карта учёта'!$B$24,Расходка[[#This Row],[Наименование расходного материала]])),MAX($P$1:P18)+1,0)</f>
        <v>18</v>
      </c>
      <c r="Q19" s="115">
        <f>IF(ISNUMBER(SEARCH('Карта учёта'!$B$25,Расходка[[#This Row],[Наименование расходного материала]])),MAX($Q$1:Q18)+1,0)</f>
        <v>18</v>
      </c>
      <c r="R19" s="114" t="str">
        <f>IFERROR(INDEX(Расходка[Наименование расходного материала],MATCH(Расходка[[#This Row],[№]],Поиск_расходки[Индекс1],0)),"")</f>
        <v/>
      </c>
      <c r="S19" s="114" t="str">
        <f>IFERROR(INDEX(Расходка[Наименование расходного материала],MATCH(Расходка[[#This Row],[№]],Поиск_расходки[Индекс2],0)),"")</f>
        <v/>
      </c>
      <c r="T19" s="114" t="str">
        <f>IFERROR(INDEX(Расходка[Наименование расходного материала],MATCH(Расходка[[#This Row],[№]],Поиск_расходки[Индекс3],0)),"")</f>
        <v/>
      </c>
      <c r="U19" s="114" t="str">
        <f>IFERROR(INDEX(Расходка[Наименование расходного материала],MATCH(Расходка[[#This Row],[№]],Поиск_расходки[Индекс4],0)),"")</f>
        <v/>
      </c>
      <c r="V19" s="114" t="str">
        <f>IFERROR(INDEX(Расходка[Наименование расходного материала],MATCH(Расходка[[#This Row],[№]],Поиск_расходки[Индекс5],0)),"")</f>
        <v/>
      </c>
      <c r="W19" s="114" t="str">
        <f>IFERROR(INDEX(Расходка[Наименование расходного материала],MATCH(Расходка[[#This Row],[№]],Поиск_расходки[Индекс6],0)),"")</f>
        <v>Dolphin</v>
      </c>
      <c r="X19" s="114" t="str">
        <f>IFERROR(INDEX(Расходка[Наименование расходного материала],MATCH(Расходка[[#This Row],[№]],Поиск_расходки[Индекс7],0)),"")</f>
        <v/>
      </c>
      <c r="Y19" s="114" t="str">
        <f>IFERROR(INDEX(Расходка[Наименование расходного материала],MATCH(Расходка[[#This Row],[№]],Поиск_расходки[Индекс8],0)),"")</f>
        <v>Dolphin</v>
      </c>
      <c r="Z19" s="114" t="str">
        <f>IFERROR(INDEX(Расходка[Наименование расходного материала],MATCH(Расходка[[#This Row],[№]],Поиск_расходки[Индекс9],0)),"")</f>
        <v>Dolphin</v>
      </c>
      <c r="AA19" s="114" t="str">
        <f>IFERROR(INDEX(Расходка[Наименование расходного материала],MATCH(Расходка[[#This Row],[№]],Поиск_расходки[Индекс10],0)),"")</f>
        <v>Dolphin</v>
      </c>
      <c r="AB19" s="114" t="str">
        <f>IFERROR(INDEX(Расходка[Наименование расходного материала],MATCH(Расходка[[#This Row],[№]],Поиск_расходки[Индекс11],0)),"")</f>
        <v>Dolphin</v>
      </c>
      <c r="AC19" s="114" t="str">
        <f>IFERROR(INDEX(Расходка[Наименование расходного материала],MATCH(Расходка[[#This Row],[№]],Поиск_расходки[Индекс12],0)),"")</f>
        <v>Dolphin</v>
      </c>
      <c r="AD19" s="114" t="str">
        <f>IFERROR(INDEX(Расходка[Наименование расходного материала],MATCH(Расходка[[#This Row],[№]],Поиск_расходки[Индекс13],0)),"")</f>
        <v>Dolphin</v>
      </c>
      <c r="AF19" s="4" t="s">
        <v>5</v>
      </c>
      <c r="AG19" s="4" t="s">
        <v>414</v>
      </c>
      <c r="AI19" t="s">
        <v>300</v>
      </c>
    </row>
    <row r="20" spans="1:35">
      <c r="A20">
        <f>ROW(Расходка[[#This Row],[Тип расходного материала ]])-1</f>
        <v>19</v>
      </c>
      <c r="B20" t="s">
        <v>304</v>
      </c>
      <c r="C20" t="s">
        <v>373</v>
      </c>
      <c r="E20" s="115">
        <f>IF(ISNUMBER(SEARCH('Карта учёта'!$B$13,Расходка[[#This Row],[Наименование расходного материала]])),MAX($E$1:E19)+1,0)</f>
        <v>0</v>
      </c>
      <c r="F20" s="115">
        <f>IF(ISNUMBER(SEARCH('Карта учёта'!$B$14,Расходка[[#This Row],[Наименование расходного материала]])),MAX($F$1:F19)+1,0)</f>
        <v>0</v>
      </c>
      <c r="G20" s="115">
        <f>IF(ISNUMBER(SEARCH('Карта учёта'!$B$15,Расходка[[#This Row],[Наименование расходного материала]])),MAX($G$1:G19)+1,0)</f>
        <v>0</v>
      </c>
      <c r="H20" s="115">
        <f>IF(ISNUMBER(SEARCH('Карта учёта'!#REF!,Расходка[[#This Row],[Наименование расходного материала]])),MAX($H$1:H19)+1,0)</f>
        <v>0</v>
      </c>
      <c r="I20" s="115">
        <f>IF(ISNUMBER(SEARCH('Карта учёта'!$B$17,Расходка[[#This Row],[Наименование расходного материала]])),MAX($I$1:I19)+1,0)</f>
        <v>0</v>
      </c>
      <c r="J20" s="115">
        <f>IF(ISNUMBER(SEARCH('Карта учёта'!$B$18,Расходка[[#This Row],[Наименование расходного материала]])),MAX($J$1:J19)+1,0)</f>
        <v>19</v>
      </c>
      <c r="K20" s="115">
        <f>IF(ISNUMBER(SEARCH('Карта учёта'!$B$16,Расходка[[#This Row],[Наименование расходного материала]])),MAX($K$1:K19)+1,0)</f>
        <v>0</v>
      </c>
      <c r="L20" s="115">
        <f>IF(ISNUMBER(SEARCH('Карта учёта'!$B$20,Расходка[[#This Row],[Наименование расходного материала]])),MAX($L$1:L19)+1,0)</f>
        <v>19</v>
      </c>
      <c r="M20" s="115">
        <f>IF(ISNUMBER(SEARCH('Карта учёта'!$B$21,Расходка[[#This Row],[Наименование расходного материала]])),MAX($M$1:M19)+1,0)</f>
        <v>19</v>
      </c>
      <c r="N20" s="115">
        <f>IF(ISNUMBER(SEARCH('Карта учёта'!$B$22,Расходка[[#This Row],[Наименование расходного материала]])),MAX($N$1:N19)+1,0)</f>
        <v>19</v>
      </c>
      <c r="O20" s="115">
        <f>IF(ISNUMBER(SEARCH('Карта учёта'!$B$23,Расходка[[#This Row],[Наименование расходного материала]])),MAX($O$1:O19)+1,0)</f>
        <v>19</v>
      </c>
      <c r="P20" s="115">
        <f>IF(ISNUMBER(SEARCH('Карта учёта'!$B$24,Расходка[[#This Row],[Наименование расходного материала]])),MAX($P$1:P19)+1,0)</f>
        <v>19</v>
      </c>
      <c r="Q20" s="115">
        <f>IF(ISNUMBER(SEARCH('Карта учёта'!$B$25,Расходка[[#This Row],[Наименование расходного материала]])),MAX($Q$1:Q19)+1,0)</f>
        <v>19</v>
      </c>
      <c r="R20" s="114" t="str">
        <f>IFERROR(INDEX(Расходка[Наименование расходного материала],MATCH(Расходка[[#This Row],[№]],Поиск_расходки[Индекс1],0)),"")</f>
        <v/>
      </c>
      <c r="S20" s="114" t="str">
        <f>IFERROR(INDEX(Расходка[Наименование расходного материала],MATCH(Расходка[[#This Row],[№]],Поиск_расходки[Индекс2],0)),"")</f>
        <v/>
      </c>
      <c r="T20" s="114" t="str">
        <f>IFERROR(INDEX(Расходка[Наименование расходного материала],MATCH(Расходка[[#This Row],[№]],Поиск_расходки[Индекс3],0)),"")</f>
        <v/>
      </c>
      <c r="U20" s="114" t="str">
        <f>IFERROR(INDEX(Расходка[Наименование расходного материала],MATCH(Расходка[[#This Row],[№]],Поиск_расходки[Индекс4],0)),"")</f>
        <v/>
      </c>
      <c r="V20" s="114" t="str">
        <f>IFERROR(INDEX(Расходка[Наименование расходного материала],MATCH(Расходка[[#This Row],[№]],Поиск_расходки[Индекс5],0)),"")</f>
        <v/>
      </c>
      <c r="W20" s="114" t="str">
        <f>IFERROR(INDEX(Расходка[Наименование расходного материала],MATCH(Расходка[[#This Row],[№]],Поиск_расходки[Индекс6],0)),"")</f>
        <v>Lepu Medical</v>
      </c>
      <c r="X20" s="114" t="str">
        <f>IFERROR(INDEX(Расходка[Наименование расходного материала],MATCH(Расходка[[#This Row],[№]],Поиск_расходки[Индекс7],0)),"")</f>
        <v/>
      </c>
      <c r="Y20" s="114" t="str">
        <f>IFERROR(INDEX(Расходка[Наименование расходного материала],MATCH(Расходка[[#This Row],[№]],Поиск_расходки[Индекс8],0)),"")</f>
        <v>Lepu Medical</v>
      </c>
      <c r="Z20" s="114" t="str">
        <f>IFERROR(INDEX(Расходка[Наименование расходного материала],MATCH(Расходка[[#This Row],[№]],Поиск_расходки[Индекс9],0)),"")</f>
        <v>Lepu Medical</v>
      </c>
      <c r="AA20" s="114" t="str">
        <f>IFERROR(INDEX(Расходка[Наименование расходного материала],MATCH(Расходка[[#This Row],[№]],Поиск_расходки[Индекс10],0)),"")</f>
        <v>Lepu Medical</v>
      </c>
      <c r="AB20" s="114" t="str">
        <f>IFERROR(INDEX(Расходка[Наименование расходного материала],MATCH(Расходка[[#This Row],[№]],Поиск_расходки[Индекс11],0)),"")</f>
        <v>Lepu Medical</v>
      </c>
      <c r="AC20" s="114" t="str">
        <f>IFERROR(INDEX(Расходка[Наименование расходного материала],MATCH(Расходка[[#This Row],[№]],Поиск_расходки[Индекс12],0)),"")</f>
        <v>Lepu Medical</v>
      </c>
      <c r="AD20" s="114" t="str">
        <f>IFERROR(INDEX(Расходка[Наименование расходного материала],MATCH(Расходка[[#This Row],[№]],Поиск_расходки[Индекс13],0)),"")</f>
        <v>Lepu Medical</v>
      </c>
      <c r="AF20" s="4" t="s">
        <v>5</v>
      </c>
      <c r="AG20" s="4" t="s">
        <v>415</v>
      </c>
      <c r="AI20" t="s">
        <v>306</v>
      </c>
    </row>
    <row r="21" spans="1:35">
      <c r="A21">
        <f>ROW(Расходка[[#This Row],[Тип расходного материала ]])-1</f>
        <v>20</v>
      </c>
      <c r="B21" t="s">
        <v>304</v>
      </c>
      <c r="C21" t="s">
        <v>365</v>
      </c>
      <c r="E21" s="115">
        <f>IF(ISNUMBER(SEARCH('Карта учёта'!$B$13,Расходка[[#This Row],[Наименование расходного материала]])),MAX($E$1:E20)+1,0)</f>
        <v>0</v>
      </c>
      <c r="F21" s="115">
        <f>IF(ISNUMBER(SEARCH('Карта учёта'!$B$14,Расходка[[#This Row],[Наименование расходного материала]])),MAX($F$1:F20)+1,0)</f>
        <v>0</v>
      </c>
      <c r="G21" s="115">
        <f>IF(ISNUMBER(SEARCH('Карта учёта'!$B$15,Расходка[[#This Row],[Наименование расходного материала]])),MAX($G$1:G20)+1,0)</f>
        <v>0</v>
      </c>
      <c r="H21" s="115">
        <f>IF(ISNUMBER(SEARCH('Карта учёта'!#REF!,Расходка[[#This Row],[Наименование расходного материала]])),MAX($H$1:H20)+1,0)</f>
        <v>0</v>
      </c>
      <c r="I21" s="115">
        <f>IF(ISNUMBER(SEARCH('Карта учёта'!$B$17,Расходка[[#This Row],[Наименование расходного материала]])),MAX($I$1:I20)+1,0)</f>
        <v>0</v>
      </c>
      <c r="J21" s="115">
        <f>IF(ISNUMBER(SEARCH('Карта учёта'!$B$18,Расходка[[#This Row],[Наименование расходного материала]])),MAX($J$1:J20)+1,0)</f>
        <v>20</v>
      </c>
      <c r="K21" s="115">
        <f>IF(ISNUMBER(SEARCH('Карта учёта'!$B$16,Расходка[[#This Row],[Наименование расходного материала]])),MAX($K$1:K20)+1,0)</f>
        <v>0</v>
      </c>
      <c r="L21" s="115">
        <f>IF(ISNUMBER(SEARCH('Карта учёта'!$B$20,Расходка[[#This Row],[Наименование расходного материала]])),MAX($L$1:L20)+1,0)</f>
        <v>20</v>
      </c>
      <c r="M21" s="115">
        <f>IF(ISNUMBER(SEARCH('Карта учёта'!$B$21,Расходка[[#This Row],[Наименование расходного материала]])),MAX($M$1:M20)+1,0)</f>
        <v>20</v>
      </c>
      <c r="N21" s="115">
        <f>IF(ISNUMBER(SEARCH('Карта учёта'!$B$22,Расходка[[#This Row],[Наименование расходного материала]])),MAX($N$1:N20)+1,0)</f>
        <v>20</v>
      </c>
      <c r="O21" s="115">
        <f>IF(ISNUMBER(SEARCH('Карта учёта'!$B$23,Расходка[[#This Row],[Наименование расходного материала]])),MAX($O$1:O20)+1,0)</f>
        <v>20</v>
      </c>
      <c r="P21" s="115">
        <f>IF(ISNUMBER(SEARCH('Карта учёта'!$B$24,Расходка[[#This Row],[Наименование расходного материала]])),MAX($P$1:P20)+1,0)</f>
        <v>20</v>
      </c>
      <c r="Q21" s="115">
        <f>IF(ISNUMBER(SEARCH('Карта учёта'!$B$25,Расходка[[#This Row],[Наименование расходного материала]])),MAX($Q$1:Q20)+1,0)</f>
        <v>20</v>
      </c>
      <c r="R21" s="114" t="str">
        <f>IFERROR(INDEX(Расходка[Наименование расходного материала],MATCH(Расходка[[#This Row],[№]],Поиск_расходки[Индекс1],0)),"")</f>
        <v/>
      </c>
      <c r="S21" s="114" t="str">
        <f>IFERROR(INDEX(Расходка[Наименование расходного материала],MATCH(Расходка[[#This Row],[№]],Поиск_расходки[Индекс2],0)),"")</f>
        <v/>
      </c>
      <c r="T21" s="114" t="str">
        <f>IFERROR(INDEX(Расходка[Наименование расходного материала],MATCH(Расходка[[#This Row],[№]],Поиск_расходки[Индекс3],0)),"")</f>
        <v/>
      </c>
      <c r="U21" s="114" t="str">
        <f>IFERROR(INDEX(Расходка[Наименование расходного материала],MATCH(Расходка[[#This Row],[№]],Поиск_расходки[Индекс4],0)),"")</f>
        <v/>
      </c>
      <c r="V21" s="114" t="str">
        <f>IFERROR(INDEX(Расходка[Наименование расходного материала],MATCH(Расходка[[#This Row],[№]],Поиск_расходки[Индекс5],0)),"")</f>
        <v/>
      </c>
      <c r="W21" s="114" t="str">
        <f>IFERROR(INDEX(Расходка[Наименование расходного материала],MATCH(Расходка[[#This Row],[№]],Поиск_расходки[Индекс6],0)),"")</f>
        <v>Perouse Medical FLAMINGO</v>
      </c>
      <c r="X21" s="114" t="str">
        <f>IFERROR(INDEX(Расходка[Наименование расходного материала],MATCH(Расходка[[#This Row],[№]],Поиск_расходки[Индекс7],0)),"")</f>
        <v/>
      </c>
      <c r="Y21" s="114" t="str">
        <f>IFERROR(INDEX(Расходка[Наименование расходного материала],MATCH(Расходка[[#This Row],[№]],Поиск_расходки[Индекс8],0)),"")</f>
        <v>Perouse Medical FLAMINGO</v>
      </c>
      <c r="Z21" s="114" t="str">
        <f>IFERROR(INDEX(Расходка[Наименование расходного материала],MATCH(Расходка[[#This Row],[№]],Поиск_расходки[Индекс9],0)),"")</f>
        <v>Perouse Medical FLAMINGO</v>
      </c>
      <c r="AA21" s="114" t="str">
        <f>IFERROR(INDEX(Расходка[Наименование расходного материала],MATCH(Расходка[[#This Row],[№]],Поиск_расходки[Индекс10],0)),"")</f>
        <v>Perouse Medical FLAMINGO</v>
      </c>
      <c r="AB21" s="114" t="str">
        <f>IFERROR(INDEX(Расходка[Наименование расходного материала],MATCH(Расходка[[#This Row],[№]],Поиск_расходки[Индекс11],0)),"")</f>
        <v>Perouse Medical FLAMINGO</v>
      </c>
      <c r="AC21" s="114" t="str">
        <f>IFERROR(INDEX(Расходка[Наименование расходного материала],MATCH(Расходка[[#This Row],[№]],Поиск_расходки[Индекс12],0)),"")</f>
        <v>Perouse Medical FLAMINGO</v>
      </c>
      <c r="AD21" s="114" t="str">
        <f>IFERROR(INDEX(Расходка[Наименование расходного материала],MATCH(Расходка[[#This Row],[№]],Поиск_расходки[Индекс13],0)),"")</f>
        <v>Perouse Medical FLAMINGO</v>
      </c>
      <c r="AF21" s="4" t="s">
        <v>5</v>
      </c>
      <c r="AG21" s="4" t="s">
        <v>416</v>
      </c>
    </row>
    <row r="22" spans="1:35">
      <c r="A22">
        <f>ROW(Расходка[[#This Row],[Тип расходного материала ]])-1</f>
        <v>21</v>
      </c>
      <c r="B22" t="s">
        <v>304</v>
      </c>
      <c r="C22" t="s">
        <v>501</v>
      </c>
      <c r="E22" s="115">
        <f>IF(ISNUMBER(SEARCH('Карта учёта'!$B$13,Расходка[[#This Row],[Наименование расходного материала]])),MAX($E$1:E21)+1,0)</f>
        <v>0</v>
      </c>
      <c r="F22" s="115">
        <f>IF(ISNUMBER(SEARCH('Карта учёта'!$B$14,Расходка[[#This Row],[Наименование расходного материала]])),MAX($F$1:F21)+1,0)</f>
        <v>0</v>
      </c>
      <c r="G22" s="115">
        <f>IF(ISNUMBER(SEARCH('Карта учёта'!$B$15,Расходка[[#This Row],[Наименование расходного материала]])),MAX($G$1:G21)+1,0)</f>
        <v>0</v>
      </c>
      <c r="H22" s="115">
        <f>IF(ISNUMBER(SEARCH('Карта учёта'!#REF!,Расходка[[#This Row],[Наименование расходного материала]])),MAX($H$1:H21)+1,0)</f>
        <v>0</v>
      </c>
      <c r="I22" s="115">
        <f>IF(ISNUMBER(SEARCH('Карта учёта'!$B$17,Расходка[[#This Row],[Наименование расходного материала]])),MAX($I$1:I21)+1,0)</f>
        <v>0</v>
      </c>
      <c r="J22" s="115">
        <f>IF(ISNUMBER(SEARCH('Карта учёта'!$B$18,Расходка[[#This Row],[Наименование расходного материала]])),MAX($J$1:J21)+1,0)</f>
        <v>21</v>
      </c>
      <c r="K22" s="115">
        <f>IF(ISNUMBER(SEARCH('Карта учёта'!$B$16,Расходка[[#This Row],[Наименование расходного материала]])),MAX($K$1:K21)+1,0)</f>
        <v>0</v>
      </c>
      <c r="L22" s="115">
        <f>IF(ISNUMBER(SEARCH('Карта учёта'!$B$20,Расходка[[#This Row],[Наименование расходного материала]])),MAX($L$1:L21)+1,0)</f>
        <v>21</v>
      </c>
      <c r="M22" s="115">
        <f>IF(ISNUMBER(SEARCH('Карта учёта'!$B$21,Расходка[[#This Row],[Наименование расходного материала]])),MAX($M$1:M21)+1,0)</f>
        <v>21</v>
      </c>
      <c r="N22" s="115">
        <f>IF(ISNUMBER(SEARCH('Карта учёта'!$B$22,Расходка[[#This Row],[Наименование расходного материала]])),MAX($N$1:N21)+1,0)</f>
        <v>21</v>
      </c>
      <c r="O22" s="115">
        <f>IF(ISNUMBER(SEARCH('Карта учёта'!$B$23,Расходка[[#This Row],[Наименование расходного материала]])),MAX($O$1:O21)+1,0)</f>
        <v>21</v>
      </c>
      <c r="P22" s="115">
        <f>IF(ISNUMBER(SEARCH('Карта учёта'!$B$24,Расходка[[#This Row],[Наименование расходного материала]])),MAX($P$1:P21)+1,0)</f>
        <v>21</v>
      </c>
      <c r="Q22" s="115">
        <f>IF(ISNUMBER(SEARCH('Карта учёта'!$B$25,Расходка[[#This Row],[Наименование расходного материала]])),MAX($Q$1:Q21)+1,0)</f>
        <v>21</v>
      </c>
      <c r="R22" s="114" t="str">
        <f>IFERROR(INDEX(Расходка[Наименование расходного материала],MATCH(Расходка[[#This Row],[№]],Поиск_расходки[Индекс1],0)),"")</f>
        <v/>
      </c>
      <c r="S22" s="114" t="str">
        <f>IFERROR(INDEX(Расходка[Наименование расходного материала],MATCH(Расходка[[#This Row],[№]],Поиск_расходки[Индекс2],0)),"")</f>
        <v/>
      </c>
      <c r="T22" s="114" t="str">
        <f>IFERROR(INDEX(Расходка[Наименование расходного материала],MATCH(Расходка[[#This Row],[№]],Поиск_расходки[Индекс3],0)),"")</f>
        <v/>
      </c>
      <c r="U22" s="114" t="str">
        <f>IFERROR(INDEX(Расходка[Наименование расходного материала],MATCH(Расходка[[#This Row],[№]],Поиск_расходки[Индекс4],0)),"")</f>
        <v/>
      </c>
      <c r="V22" s="114" t="str">
        <f>IFERROR(INDEX(Расходка[Наименование расходного материала],MATCH(Расходка[[#This Row],[№]],Поиск_расходки[Индекс5],0)),"")</f>
        <v/>
      </c>
      <c r="W22" s="114" t="str">
        <f>IFERROR(INDEX(Расходка[Наименование расходного материала],MATCH(Расходка[[#This Row],[№]],Поиск_расходки[Индекс6],0)),"")</f>
        <v>Demax</v>
      </c>
      <c r="X22" s="114" t="str">
        <f>IFERROR(INDEX(Расходка[Наименование расходного материала],MATCH(Расходка[[#This Row],[№]],Поиск_расходки[Индекс7],0)),"")</f>
        <v/>
      </c>
      <c r="Y22" s="114" t="str">
        <f>IFERROR(INDEX(Расходка[Наименование расходного материала],MATCH(Расходка[[#This Row],[№]],Поиск_расходки[Индекс8],0)),"")</f>
        <v>Demax</v>
      </c>
      <c r="Z22" s="114" t="str">
        <f>IFERROR(INDEX(Расходка[Наименование расходного материала],MATCH(Расходка[[#This Row],[№]],Поиск_расходки[Индекс9],0)),"")</f>
        <v>Demax</v>
      </c>
      <c r="AA22" s="114" t="str">
        <f>IFERROR(INDEX(Расходка[Наименование расходного материала],MATCH(Расходка[[#This Row],[№]],Поиск_расходки[Индекс10],0)),"")</f>
        <v>Demax</v>
      </c>
      <c r="AB22" s="114" t="str">
        <f>IFERROR(INDEX(Расходка[Наименование расходного материала],MATCH(Расходка[[#This Row],[№]],Поиск_расходки[Индекс11],0)),"")</f>
        <v>Demax</v>
      </c>
      <c r="AC22" s="114" t="str">
        <f>IFERROR(INDEX(Расходка[Наименование расходного материала],MATCH(Расходка[[#This Row],[№]],Поиск_расходки[Индекс12],0)),"")</f>
        <v>Demax</v>
      </c>
      <c r="AD22" s="114" t="str">
        <f>IFERROR(INDEX(Расходка[Наименование расходного материала],MATCH(Расходка[[#This Row],[№]],Поиск_расходки[Индекс13],0)),"")</f>
        <v>Demax</v>
      </c>
      <c r="AF22" s="4" t="s">
        <v>5</v>
      </c>
      <c r="AG22" s="4" t="s">
        <v>417</v>
      </c>
    </row>
    <row r="23" spans="1:35">
      <c r="A23">
        <f>ROW(Расходка[[#This Row],[Тип расходного материала ]])-1</f>
        <v>22</v>
      </c>
      <c r="B23" t="s">
        <v>205</v>
      </c>
      <c r="C23" s="1" t="s">
        <v>336</v>
      </c>
      <c r="E23" s="115">
        <f>IF(ISNUMBER(SEARCH('Карта учёта'!$B$13,Расходка[[#This Row],[Наименование расходного материала]])),MAX($E$1:E22)+1,0)</f>
        <v>0</v>
      </c>
      <c r="F23" s="115">
        <f>IF(ISNUMBER(SEARCH('Карта учёта'!$B$14,Расходка[[#This Row],[Наименование расходного материала]])),MAX($F$1:F22)+1,0)</f>
        <v>0</v>
      </c>
      <c r="G23" s="115">
        <f>IF(ISNUMBER(SEARCH('Карта учёта'!$B$15,Расходка[[#This Row],[Наименование расходного материала]])),MAX($G$1:G22)+1,0)</f>
        <v>0</v>
      </c>
      <c r="H23" s="115">
        <f>IF(ISNUMBER(SEARCH('Карта учёта'!#REF!,Расходка[[#This Row],[Наименование расходного материала]])),MAX($H$1:H22)+1,0)</f>
        <v>0</v>
      </c>
      <c r="I23" s="115">
        <f>IF(ISNUMBER(SEARCH('Карта учёта'!$B$17,Расходка[[#This Row],[Наименование расходного материала]])),MAX($I$1:I22)+1,0)</f>
        <v>0</v>
      </c>
      <c r="J23" s="115">
        <f>IF(ISNUMBER(SEARCH('Карта учёта'!$B$18,Расходка[[#This Row],[Наименование расходного материала]])),MAX($J$1:J22)+1,0)</f>
        <v>22</v>
      </c>
      <c r="K23" s="115">
        <f>IF(ISNUMBER(SEARCH('Карта учёта'!$B$16,Расходка[[#This Row],[Наименование расходного материала]])),MAX($K$1:K22)+1,0)</f>
        <v>0</v>
      </c>
      <c r="L23" s="115">
        <f>IF(ISNUMBER(SEARCH('Карта учёта'!$B$20,Расходка[[#This Row],[Наименование расходного материала]])),MAX($L$1:L22)+1,0)</f>
        <v>22</v>
      </c>
      <c r="M23" s="115">
        <f>IF(ISNUMBER(SEARCH('Карта учёта'!$B$21,Расходка[[#This Row],[Наименование расходного материала]])),MAX($M$1:M22)+1,0)</f>
        <v>22</v>
      </c>
      <c r="N23" s="115">
        <f>IF(ISNUMBER(SEARCH('Карта учёта'!$B$22,Расходка[[#This Row],[Наименование расходного материала]])),MAX($N$1:N22)+1,0)</f>
        <v>22</v>
      </c>
      <c r="O23" s="115">
        <f>IF(ISNUMBER(SEARCH('Карта учёта'!$B$23,Расходка[[#This Row],[Наименование расходного материала]])),MAX($O$1:O22)+1,0)</f>
        <v>22</v>
      </c>
      <c r="P23" s="115">
        <f>IF(ISNUMBER(SEARCH('Карта учёта'!$B$24,Расходка[[#This Row],[Наименование расходного материала]])),MAX($P$1:P22)+1,0)</f>
        <v>22</v>
      </c>
      <c r="Q23" s="115">
        <f>IF(ISNUMBER(SEARCH('Карта учёта'!$B$25,Расходка[[#This Row],[Наименование расходного материала]])),MAX($Q$1:Q22)+1,0)</f>
        <v>22</v>
      </c>
      <c r="R23" s="114" t="str">
        <f>IFERROR(INDEX(Расходка[Наименование расходного материала],MATCH(Расходка[[#This Row],[№]],Поиск_расходки[Индекс1],0)),"")</f>
        <v/>
      </c>
      <c r="S23" s="114" t="str">
        <f>IFERROR(INDEX(Расходка[Наименование расходного материала],MATCH(Расходка[[#This Row],[№]],Поиск_расходки[Индекс2],0)),"")</f>
        <v/>
      </c>
      <c r="T23" s="114" t="str">
        <f>IFERROR(INDEX(Расходка[Наименование расходного материала],MATCH(Расходка[[#This Row],[№]],Поиск_расходки[Индекс3],0)),"")</f>
        <v/>
      </c>
      <c r="U23" s="114" t="str">
        <f>IFERROR(INDEX(Расходка[Наименование расходного материала],MATCH(Расходка[[#This Row],[№]],Поиск_расходки[Индекс4],0)),"")</f>
        <v/>
      </c>
      <c r="V23" s="114" t="str">
        <f>IFERROR(INDEX(Расходка[Наименование расходного материала],MATCH(Расходка[[#This Row],[№]],Поиск_расходки[Индекс5],0)),"")</f>
        <v/>
      </c>
      <c r="W23" s="114" t="str">
        <f>IFERROR(INDEX(Расходка[Наименование расходного материала],MATCH(Расходка[[#This Row],[№]],Поиск_расходки[Индекс6],0)),"")</f>
        <v>Oscor 7F</v>
      </c>
      <c r="X23" s="114" t="str">
        <f>IFERROR(INDEX(Расходка[Наименование расходного материала],MATCH(Расходка[[#This Row],[№]],Поиск_расходки[Индекс7],0)),"")</f>
        <v/>
      </c>
      <c r="Y23" s="114" t="str">
        <f>IFERROR(INDEX(Расходка[Наименование расходного материала],MATCH(Расходка[[#This Row],[№]],Поиск_расходки[Индекс8],0)),"")</f>
        <v>Oscor 7F</v>
      </c>
      <c r="Z23" s="114" t="str">
        <f>IFERROR(INDEX(Расходка[Наименование расходного материала],MATCH(Расходка[[#This Row],[№]],Поиск_расходки[Индекс9],0)),"")</f>
        <v>Oscor 7F</v>
      </c>
      <c r="AA23" s="114" t="str">
        <f>IFERROR(INDEX(Расходка[Наименование расходного материала],MATCH(Расходка[[#This Row],[№]],Поиск_расходки[Индекс10],0)),"")</f>
        <v>Oscor 7F</v>
      </c>
      <c r="AB23" s="114" t="str">
        <f>IFERROR(INDEX(Расходка[Наименование расходного материала],MATCH(Расходка[[#This Row],[№]],Поиск_расходки[Индекс11],0)),"")</f>
        <v>Oscor 7F</v>
      </c>
      <c r="AC23" s="114" t="str">
        <f>IFERROR(INDEX(Расходка[Наименование расходного материала],MATCH(Расходка[[#This Row],[№]],Поиск_расходки[Индекс12],0)),"")</f>
        <v>Oscor 7F</v>
      </c>
      <c r="AD23" s="114" t="str">
        <f>IFERROR(INDEX(Расходка[Наименование расходного материала],MATCH(Расходка[[#This Row],[№]],Поиск_расходки[Индекс13],0)),"")</f>
        <v>Oscor 7F</v>
      </c>
      <c r="AF23" s="4" t="s">
        <v>5</v>
      </c>
      <c r="AG23" s="4" t="s">
        <v>418</v>
      </c>
    </row>
    <row r="24" spans="1:35">
      <c r="A24">
        <f>ROW(Расходка[[#This Row],[Тип расходного материала ]])-1</f>
        <v>23</v>
      </c>
      <c r="B24" t="s">
        <v>304</v>
      </c>
      <c r="C24" s="1" t="s">
        <v>503</v>
      </c>
      <c r="E24" s="115">
        <f>IF(ISNUMBER(SEARCH('Карта учёта'!$B$13,Расходка[[#This Row],[Наименование расходного материала]])),MAX($E$1:E23)+1,0)</f>
        <v>0</v>
      </c>
      <c r="F24" s="115">
        <f>IF(ISNUMBER(SEARCH('Карта учёта'!$B$14,Расходка[[#This Row],[Наименование расходного материала]])),MAX($F$1:F23)+1,0)</f>
        <v>0</v>
      </c>
      <c r="G24" s="115">
        <f>IF(ISNUMBER(SEARCH('Карта учёта'!$B$15,Расходка[[#This Row],[Наименование расходного материала]])),MAX($G$1:G23)+1,0)</f>
        <v>0</v>
      </c>
      <c r="H24" s="115">
        <f>IF(ISNUMBER(SEARCH('Карта учёта'!#REF!,Расходка[[#This Row],[Наименование расходного материала]])),MAX($H$1:H23)+1,0)</f>
        <v>0</v>
      </c>
      <c r="I24" s="115">
        <f>IF(ISNUMBER(SEARCH('Карта учёта'!$B$17,Расходка[[#This Row],[Наименование расходного материала]])),MAX($I$1:I23)+1,0)</f>
        <v>0</v>
      </c>
      <c r="J24" s="115">
        <f>IF(ISNUMBER(SEARCH('Карта учёта'!$B$18,Расходка[[#This Row],[Наименование расходного материала]])),MAX($J$1:J23)+1,0)</f>
        <v>23</v>
      </c>
      <c r="K24" s="115">
        <f>IF(ISNUMBER(SEARCH('Карта учёта'!$B$16,Расходка[[#This Row],[Наименование расходного материала]])),MAX($K$1:K23)+1,0)</f>
        <v>0</v>
      </c>
      <c r="L24" s="115">
        <f>IF(ISNUMBER(SEARCH('Карта учёта'!$B$20,Расходка[[#This Row],[Наименование расходного материала]])),MAX($L$1:L23)+1,0)</f>
        <v>23</v>
      </c>
      <c r="M24" s="115">
        <f>IF(ISNUMBER(SEARCH('Карта учёта'!$B$21,Расходка[[#This Row],[Наименование расходного материала]])),MAX($M$1:M23)+1,0)</f>
        <v>23</v>
      </c>
      <c r="N24" s="115">
        <f>IF(ISNUMBER(SEARCH('Карта учёта'!$B$22,Расходка[[#This Row],[Наименование расходного материала]])),MAX($N$1:N23)+1,0)</f>
        <v>23</v>
      </c>
      <c r="O24" s="115">
        <f>IF(ISNUMBER(SEARCH('Карта учёта'!$B$23,Расходка[[#This Row],[Наименование расходного материала]])),MAX($O$1:O23)+1,0)</f>
        <v>23</v>
      </c>
      <c r="P24" s="115">
        <f>IF(ISNUMBER(SEARCH('Карта учёта'!$B$24,Расходка[[#This Row],[Наименование расходного материала]])),MAX($P$1:P23)+1,0)</f>
        <v>23</v>
      </c>
      <c r="Q24" s="115">
        <f>IF(ISNUMBER(SEARCH('Карта учёта'!$B$25,Расходка[[#This Row],[Наименование расходного материала]])),MAX($Q$1:Q23)+1,0)</f>
        <v>23</v>
      </c>
      <c r="R24" s="114" t="str">
        <f>IFERROR(INDEX(Расходка[Наименование расходного материала],MATCH(Расходка[[#This Row],[№]],Поиск_расходки[Индекс1],0)),"")</f>
        <v/>
      </c>
      <c r="S24" s="114" t="str">
        <f>IFERROR(INDEX(Расходка[Наименование расходного материала],MATCH(Расходка[[#This Row],[№]],Поиск_расходки[Индекс2],0)),"")</f>
        <v/>
      </c>
      <c r="T24" s="114" t="str">
        <f>IFERROR(INDEX(Расходка[Наименование расходного материала],MATCH(Расходка[[#This Row],[№]],Поиск_расходки[Индекс3],0)),"")</f>
        <v/>
      </c>
      <c r="U24" s="114" t="str">
        <f>IFERROR(INDEX(Расходка[Наименование расходного материала],MATCH(Расходка[[#This Row],[№]],Поиск_расходки[Индекс4],0)),"")</f>
        <v/>
      </c>
      <c r="V24" s="114" t="str">
        <f>IFERROR(INDEX(Расходка[Наименование расходного материала],MATCH(Расходка[[#This Row],[№]],Поиск_расходки[Индекс5],0)),"")</f>
        <v/>
      </c>
      <c r="W24" s="114" t="str">
        <f>IFERROR(INDEX(Расходка[Наименование расходного материала],MATCH(Расходка[[#This Row],[№]],Поиск_расходки[Индекс6],0)),"")</f>
        <v>"МИМ". Тюмень</v>
      </c>
      <c r="X24" s="114" t="str">
        <f>IFERROR(INDEX(Расходка[Наименование расходного материала],MATCH(Расходка[[#This Row],[№]],Поиск_расходки[Индекс7],0)),"")</f>
        <v/>
      </c>
      <c r="Y24" s="114" t="str">
        <f>IFERROR(INDEX(Расходка[Наименование расходного материала],MATCH(Расходка[[#This Row],[№]],Поиск_расходки[Индекс8],0)),"")</f>
        <v>"МИМ". Тюмень</v>
      </c>
      <c r="Z24" s="114" t="str">
        <f>IFERROR(INDEX(Расходка[Наименование расходного материала],MATCH(Расходка[[#This Row],[№]],Поиск_расходки[Индекс9],0)),"")</f>
        <v>"МИМ". Тюмень</v>
      </c>
      <c r="AA24" s="114" t="str">
        <f>IFERROR(INDEX(Расходка[Наименование расходного материала],MATCH(Расходка[[#This Row],[№]],Поиск_расходки[Индекс10],0)),"")</f>
        <v>"МИМ". Тюмень</v>
      </c>
      <c r="AB24" s="114" t="str">
        <f>IFERROR(INDEX(Расходка[Наименование расходного материала],MATCH(Расходка[[#This Row],[№]],Поиск_расходки[Индекс11],0)),"")</f>
        <v>"МИМ". Тюмень</v>
      </c>
      <c r="AC24" s="114" t="str">
        <f>IFERROR(INDEX(Расходка[Наименование расходного материала],MATCH(Расходка[[#This Row],[№]],Поиск_расходки[Индекс12],0)),"")</f>
        <v>"МИМ". Тюмень</v>
      </c>
      <c r="AD24" s="114" t="str">
        <f>IFERROR(INDEX(Расходка[Наименование расходного материала],MATCH(Расходка[[#This Row],[№]],Поиск_расходки[Индекс13],0)),"")</f>
        <v>"МИМ". Тюмень</v>
      </c>
      <c r="AF24" s="4" t="s">
        <v>5</v>
      </c>
      <c r="AG24" s="4" t="s">
        <v>419</v>
      </c>
    </row>
    <row r="25" spans="1:35">
      <c r="A25">
        <f>ROW(Расходка[[#This Row],[Тип расходного материала ]])-1</f>
        <v>24</v>
      </c>
      <c r="B25" t="s">
        <v>304</v>
      </c>
      <c r="C25" s="1" t="s">
        <v>505</v>
      </c>
      <c r="E25" s="115">
        <f>IF(ISNUMBER(SEARCH('Карта учёта'!$B$13,Расходка[[#This Row],[Наименование расходного материала]])),MAX($E$1:E24)+1,0)</f>
        <v>0</v>
      </c>
      <c r="F25" s="115">
        <f>IF(ISNUMBER(SEARCH('Карта учёта'!$B$14,Расходка[[#This Row],[Наименование расходного материала]])),MAX($F$1:F24)+1,0)</f>
        <v>0</v>
      </c>
      <c r="G25" s="115">
        <f>IF(ISNUMBER(SEARCH('Карта учёта'!$B$15,Расходка[[#This Row],[Наименование расходного материала]])),MAX($G$1:G24)+1,0)</f>
        <v>0</v>
      </c>
      <c r="H25" s="115">
        <f>IF(ISNUMBER(SEARCH('Карта учёта'!#REF!,Расходка[[#This Row],[Наименование расходного материала]])),MAX($H$1:H24)+1,0)</f>
        <v>0</v>
      </c>
      <c r="I25" s="115">
        <f>IF(ISNUMBER(SEARCH('Карта учёта'!$B$17,Расходка[[#This Row],[Наименование расходного материала]])),MAX($I$1:I24)+1,0)</f>
        <v>0</v>
      </c>
      <c r="J25" s="115">
        <f>IF(ISNUMBER(SEARCH('Карта учёта'!$B$18,Расходка[[#This Row],[Наименование расходного материала]])),MAX($J$1:J24)+1,0)</f>
        <v>24</v>
      </c>
      <c r="K25" s="115">
        <f>IF(ISNUMBER(SEARCH('Карта учёта'!$B$16,Расходка[[#This Row],[Наименование расходного материала]])),MAX($K$1:K24)+1,0)</f>
        <v>0</v>
      </c>
      <c r="L25" s="115">
        <f>IF(ISNUMBER(SEARCH('Карта учёта'!$B$20,Расходка[[#This Row],[Наименование расходного материала]])),MAX($L$1:L24)+1,0)</f>
        <v>24</v>
      </c>
      <c r="M25" s="115">
        <f>IF(ISNUMBER(SEARCH('Карта учёта'!$B$21,Расходка[[#This Row],[Наименование расходного материала]])),MAX($M$1:M24)+1,0)</f>
        <v>24</v>
      </c>
      <c r="N25" s="115">
        <f>IF(ISNUMBER(SEARCH('Карта учёта'!$B$22,Расходка[[#This Row],[Наименование расходного материала]])),MAX($N$1:N24)+1,0)</f>
        <v>24</v>
      </c>
      <c r="O25" s="115">
        <f>IF(ISNUMBER(SEARCH('Карта учёта'!$B$23,Расходка[[#This Row],[Наименование расходного материала]])),MAX($O$1:O24)+1,0)</f>
        <v>24</v>
      </c>
      <c r="P25" s="115">
        <f>IF(ISNUMBER(SEARCH('Карта учёта'!$B$24,Расходка[[#This Row],[Наименование расходного материала]])),MAX($P$1:P24)+1,0)</f>
        <v>24</v>
      </c>
      <c r="Q25" s="115">
        <f>IF(ISNUMBER(SEARCH('Карта учёта'!$B$25,Расходка[[#This Row],[Наименование расходного материала]])),MAX($Q$1:Q24)+1,0)</f>
        <v>24</v>
      </c>
      <c r="R25" s="114" t="str">
        <f>IFERROR(INDEX(Расходка[Наименование расходного материала],MATCH(Расходка[[#This Row],[№]],Поиск_расходки[Индекс1],0)),"")</f>
        <v/>
      </c>
      <c r="S25" s="114" t="str">
        <f>IFERROR(INDEX(Расходка[Наименование расходного материала],MATCH(Расходка[[#This Row],[№]],Поиск_расходки[Индекс2],0)),"")</f>
        <v/>
      </c>
      <c r="T25" s="114" t="str">
        <f>IFERROR(INDEX(Расходка[Наименование расходного материала],MATCH(Расходка[[#This Row],[№]],Поиск_расходки[Индекс3],0)),"")</f>
        <v/>
      </c>
      <c r="U25" s="114" t="str">
        <f>IFERROR(INDEX(Расходка[Наименование расходного материала],MATCH(Расходка[[#This Row],[№]],Поиск_расходки[Индекс4],0)),"")</f>
        <v/>
      </c>
      <c r="V25" s="114" t="str">
        <f>IFERROR(INDEX(Расходка[Наименование расходного материала],MATCH(Расходка[[#This Row],[№]],Поиск_расходки[Индекс5],0)),"")</f>
        <v/>
      </c>
      <c r="W25" s="114" t="str">
        <f>IFERROR(INDEX(Расходка[Наименование расходного материала],MATCH(Расходка[[#This Row],[№]],Поиск_расходки[Индекс6],0)),"")</f>
        <v>Поток CTЗ по ТУ</v>
      </c>
      <c r="X25" s="114" t="str">
        <f>IFERROR(INDEX(Расходка[Наименование расходного материала],MATCH(Расходка[[#This Row],[№]],Поиск_расходки[Индекс7],0)),"")</f>
        <v/>
      </c>
      <c r="Y25" s="114" t="str">
        <f>IFERROR(INDEX(Расходка[Наименование расходного материала],MATCH(Расходка[[#This Row],[№]],Поиск_расходки[Индекс8],0)),"")</f>
        <v>Поток CTЗ по ТУ</v>
      </c>
      <c r="Z25" s="114" t="str">
        <f>IFERROR(INDEX(Расходка[Наименование расходного материала],MATCH(Расходка[[#This Row],[№]],Поиск_расходки[Индекс9],0)),"")</f>
        <v>Поток CTЗ по ТУ</v>
      </c>
      <c r="AA25" s="114" t="str">
        <f>IFERROR(INDEX(Расходка[Наименование расходного материала],MATCH(Расходка[[#This Row],[№]],Поиск_расходки[Индекс10],0)),"")</f>
        <v>Поток CTЗ по ТУ</v>
      </c>
      <c r="AB25" s="114" t="str">
        <f>IFERROR(INDEX(Расходка[Наименование расходного материала],MATCH(Расходка[[#This Row],[№]],Поиск_расходки[Индекс11],0)),"")</f>
        <v>Поток CTЗ по ТУ</v>
      </c>
      <c r="AC25" s="114" t="str">
        <f>IFERROR(INDEX(Расходка[Наименование расходного материала],MATCH(Расходка[[#This Row],[№]],Поиск_расходки[Индекс12],0)),"")</f>
        <v>Поток CTЗ по ТУ</v>
      </c>
      <c r="AD25" s="114" t="str">
        <f>IFERROR(INDEX(Расходка[Наименование расходного материала],MATCH(Расходка[[#This Row],[№]],Поиск_расходки[Индекс13],0)),"")</f>
        <v>Поток CTЗ по ТУ</v>
      </c>
      <c r="AF25" s="4" t="s">
        <v>5</v>
      </c>
      <c r="AG25" s="4" t="s">
        <v>420</v>
      </c>
    </row>
    <row r="26" spans="1:35">
      <c r="A26">
        <f>ROW(Расходка[[#This Row],[Тип расходного материала ]])-1</f>
        <v>25</v>
      </c>
      <c r="B26" t="s">
        <v>304</v>
      </c>
      <c r="C26" s="1" t="s">
        <v>304</v>
      </c>
      <c r="E26" s="115">
        <f>IF(ISNUMBER(SEARCH('Карта учёта'!$B$13,Расходка[[#This Row],[Наименование расходного материала]])),MAX($E$1:E25)+1,0)</f>
        <v>1</v>
      </c>
      <c r="F26" s="115">
        <f>IF(ISNUMBER(SEARCH('Карта учёта'!$B$14,Расходка[[#This Row],[Наименование расходного материала]])),MAX($F$1:F25)+1,0)</f>
        <v>0</v>
      </c>
      <c r="G26" s="115">
        <f>IF(ISNUMBER(SEARCH('Карта учёта'!$B$15,Расходка[[#This Row],[Наименование расходного материала]])),MAX($G$1:G25)+1,0)</f>
        <v>0</v>
      </c>
      <c r="H26" s="115">
        <f>IF(ISNUMBER(SEARCH('Карта учёта'!#REF!,Расходка[[#This Row],[Наименование расходного материала]])),MAX($H$1:H25)+1,0)</f>
        <v>0</v>
      </c>
      <c r="I26" s="115">
        <f>IF(ISNUMBER(SEARCH('Карта учёта'!$B$17,Расходка[[#This Row],[Наименование расходного материала]])),MAX($I$1:I25)+1,0)</f>
        <v>0</v>
      </c>
      <c r="J26" s="115">
        <f>IF(ISNUMBER(SEARCH('Карта учёта'!$B$18,Расходка[[#This Row],[Наименование расходного материала]])),MAX($J$1:J25)+1,0)</f>
        <v>25</v>
      </c>
      <c r="K26" s="115">
        <f>IF(ISNUMBER(SEARCH('Карта учёта'!$B$16,Расходка[[#This Row],[Наименование расходного материала]])),MAX($K$1:K25)+1,0)</f>
        <v>0</v>
      </c>
      <c r="L26" s="115">
        <f>IF(ISNUMBER(SEARCH('Карта учёта'!$B$20,Расходка[[#This Row],[Наименование расходного материала]])),MAX($L$1:L25)+1,0)</f>
        <v>25</v>
      </c>
      <c r="M26" s="115">
        <f>IF(ISNUMBER(SEARCH('Карта учёта'!$B$21,Расходка[[#This Row],[Наименование расходного материала]])),MAX($M$1:M25)+1,0)</f>
        <v>25</v>
      </c>
      <c r="N26" s="115">
        <f>IF(ISNUMBER(SEARCH('Карта учёта'!$B$22,Расходка[[#This Row],[Наименование расходного материала]])),MAX($N$1:N25)+1,0)</f>
        <v>25</v>
      </c>
      <c r="O26" s="115">
        <f>IF(ISNUMBER(SEARCH('Карта учёта'!$B$23,Расходка[[#This Row],[Наименование расходного материала]])),MAX($O$1:O25)+1,0)</f>
        <v>25</v>
      </c>
      <c r="P26" s="115">
        <f>IF(ISNUMBER(SEARCH('Карта учёта'!$B$24,Расходка[[#This Row],[Наименование расходного материала]])),MAX($P$1:P25)+1,0)</f>
        <v>25</v>
      </c>
      <c r="Q26" s="115">
        <f>IF(ISNUMBER(SEARCH('Карта учёта'!$B$25,Расходка[[#This Row],[Наименование расходного материала]])),MAX($Q$1:Q25)+1,0)</f>
        <v>25</v>
      </c>
      <c r="R26" s="114" t="str">
        <f>IFERROR(INDEX(Расходка[Наименование расходного материала],MATCH(Расходка[[#This Row],[№]],Поиск_расходки[Индекс1],0)),"")</f>
        <v/>
      </c>
      <c r="S26" s="114" t="str">
        <f>IFERROR(INDEX(Расходка[Наименование расходного материала],MATCH(Расходка[[#This Row],[№]],Поиск_расходки[Индекс2],0)),"")</f>
        <v/>
      </c>
      <c r="T26" s="114" t="str">
        <f>IFERROR(INDEX(Расходка[Наименование расходного материала],MATCH(Расходка[[#This Row],[№]],Поиск_расходки[Индекс3],0)),"")</f>
        <v/>
      </c>
      <c r="U26" s="114" t="str">
        <f>IFERROR(INDEX(Расходка[Наименование расходного материала],MATCH(Расходка[[#This Row],[№]],Поиск_расходки[Индекс4],0)),"")</f>
        <v/>
      </c>
      <c r="V26" s="114" t="str">
        <f>IFERROR(INDEX(Расходка[Наименование расходного материала],MATCH(Расходка[[#This Row],[№]],Поиск_расходки[Индекс5],0)),"")</f>
        <v/>
      </c>
      <c r="W26" s="114" t="str">
        <f>IFERROR(INDEX(Расходка[Наименование расходного материала],MATCH(Расходка[[#This Row],[№]],Поиск_расходки[Индекс6],0)),"")</f>
        <v>Индефлятор</v>
      </c>
      <c r="X26" s="114" t="str">
        <f>IFERROR(INDEX(Расходка[Наименование расходного материала],MATCH(Расходка[[#This Row],[№]],Поиск_расходки[Индекс7],0)),"")</f>
        <v/>
      </c>
      <c r="Y26" s="114" t="str">
        <f>IFERROR(INDEX(Расходка[Наименование расходного материала],MATCH(Расходка[[#This Row],[№]],Поиск_расходки[Индекс8],0)),"")</f>
        <v>Индефлятор</v>
      </c>
      <c r="Z26" s="114" t="str">
        <f>IFERROR(INDEX(Расходка[Наименование расходного материала],MATCH(Расходка[[#This Row],[№]],Поиск_расходки[Индекс9],0)),"")</f>
        <v>Индефлятор</v>
      </c>
      <c r="AA26" s="114" t="str">
        <f>IFERROR(INDEX(Расходка[Наименование расходного материала],MATCH(Расходка[[#This Row],[№]],Поиск_расходки[Индекс10],0)),"")</f>
        <v>Индефлятор</v>
      </c>
      <c r="AB26" s="114" t="str">
        <f>IFERROR(INDEX(Расходка[Наименование расходного материала],MATCH(Расходка[[#This Row],[№]],Поиск_расходки[Индекс11],0)),"")</f>
        <v>Индефлятор</v>
      </c>
      <c r="AC26" s="114" t="str">
        <f>IFERROR(INDEX(Расходка[Наименование расходного материала],MATCH(Расходка[[#This Row],[№]],Поиск_расходки[Индекс12],0)),"")</f>
        <v>Индефлятор</v>
      </c>
      <c r="AD26" s="114" t="str">
        <f>IFERROR(INDEX(Расходка[Наименование расходного материала],MATCH(Расходка[[#This Row],[№]],Поиск_расходки[Индекс13],0)),"")</f>
        <v>Индефлятор</v>
      </c>
      <c r="AF26" s="4" t="s">
        <v>5</v>
      </c>
      <c r="AG26" s="4" t="s">
        <v>421</v>
      </c>
    </row>
    <row r="27" spans="1:35">
      <c r="A27">
        <f>ROW(Расходка[[#This Row],[Тип расходного материала ]])-1</f>
        <v>26</v>
      </c>
      <c r="B27" t="s">
        <v>3</v>
      </c>
      <c r="C27" t="s">
        <v>319</v>
      </c>
      <c r="E27" s="115">
        <f>IF(ISNUMBER(SEARCH('Карта учёта'!$B$13,Расходка[[#This Row],[Наименование расходного материала]])),MAX($E$1:E26)+1,0)</f>
        <v>0</v>
      </c>
      <c r="F27" s="115">
        <f>IF(ISNUMBER(SEARCH('Карта учёта'!$B$14,Расходка[[#This Row],[Наименование расходного материала]])),MAX($F$1:F26)+1,0)</f>
        <v>0</v>
      </c>
      <c r="G27" s="115">
        <f>IF(ISNUMBER(SEARCH('Карта учёта'!$B$15,Расходка[[#This Row],[Наименование расходного материала]])),MAX($G$1:G26)+1,0)</f>
        <v>0</v>
      </c>
      <c r="H27" s="115">
        <f>IF(ISNUMBER(SEARCH('Карта учёта'!#REF!,Расходка[[#This Row],[Наименование расходного материала]])),MAX($H$1:H26)+1,0)</f>
        <v>0</v>
      </c>
      <c r="I27" s="115">
        <f>IF(ISNUMBER(SEARCH('Карта учёта'!$B$17,Расходка[[#This Row],[Наименование расходного материала]])),MAX($I$1:I26)+1,0)</f>
        <v>0</v>
      </c>
      <c r="J27" s="115">
        <f>IF(ISNUMBER(SEARCH('Карта учёта'!$B$18,Расходка[[#This Row],[Наименование расходного материала]])),MAX($J$1:J26)+1,0)</f>
        <v>26</v>
      </c>
      <c r="K27" s="115">
        <f>IF(ISNUMBER(SEARCH('Карта учёта'!$B$16,Расходка[[#This Row],[Наименование расходного материала]])),MAX($K$1:K26)+1,0)</f>
        <v>0</v>
      </c>
      <c r="L27" s="115">
        <f>IF(ISNUMBER(SEARCH('Карта учёта'!$B$20,Расходка[[#This Row],[Наименование расходного материала]])),MAX($L$1:L26)+1,0)</f>
        <v>26</v>
      </c>
      <c r="M27" s="115">
        <f>IF(ISNUMBER(SEARCH('Карта учёта'!$B$21,Расходка[[#This Row],[Наименование расходного материала]])),MAX($M$1:M26)+1,0)</f>
        <v>26</v>
      </c>
      <c r="N27" s="115">
        <f>IF(ISNUMBER(SEARCH('Карта учёта'!$B$22,Расходка[[#This Row],[Наименование расходного материала]])),MAX($N$1:N26)+1,0)</f>
        <v>26</v>
      </c>
      <c r="O27" s="115">
        <f>IF(ISNUMBER(SEARCH('Карта учёта'!$B$23,Расходка[[#This Row],[Наименование расходного материала]])),MAX($O$1:O26)+1,0)</f>
        <v>26</v>
      </c>
      <c r="P27" s="115">
        <f>IF(ISNUMBER(SEARCH('Карта учёта'!$B$24,Расходка[[#This Row],[Наименование расходного материала]])),MAX($P$1:P26)+1,0)</f>
        <v>26</v>
      </c>
      <c r="Q27" s="115">
        <f>IF(ISNUMBER(SEARCH('Карта учёта'!$B$25,Расходка[[#This Row],[Наименование расходного материала]])),MAX($Q$1:Q26)+1,0)</f>
        <v>26</v>
      </c>
      <c r="R27" s="114" t="str">
        <f>IFERROR(INDEX(Расходка[Наименование расходного материала],MATCH(Расходка[[#This Row],[№]],Поиск_расходки[Индекс1],0)),"")</f>
        <v/>
      </c>
      <c r="S27" s="114" t="str">
        <f>IFERROR(INDEX(Расходка[Наименование расходного материала],MATCH(Расходка[[#This Row],[№]],Поиск_расходки[Индекс2],0)),"")</f>
        <v/>
      </c>
      <c r="T27" s="114" t="str">
        <f>IFERROR(INDEX(Расходка[Наименование расходного материала],MATCH(Расходка[[#This Row],[№]],Поиск_расходки[Индекс3],0)),"")</f>
        <v/>
      </c>
      <c r="U27" s="114" t="str">
        <f>IFERROR(INDEX(Расходка[Наименование расходного материала],MATCH(Расходка[[#This Row],[№]],Поиск_расходки[Индекс4],0)),"")</f>
        <v/>
      </c>
      <c r="V27" s="114" t="str">
        <f>IFERROR(INDEX(Расходка[Наименование расходного материала],MATCH(Расходка[[#This Row],[№]],Поиск_расходки[Индекс5],0)),"")</f>
        <v/>
      </c>
      <c r="W27" s="114" t="str">
        <f>IFERROR(INDEX(Расходка[Наименование расходного материала],MATCH(Расходка[[#This Row],[№]],Поиск_расходки[Индекс6],0)),"")</f>
        <v>Cougar LS Hydro-Track®</v>
      </c>
      <c r="X27" s="114" t="str">
        <f>IFERROR(INDEX(Расходка[Наименование расходного материала],MATCH(Расходка[[#This Row],[№]],Поиск_расходки[Индекс7],0)),"")</f>
        <v/>
      </c>
      <c r="Y27" s="114" t="str">
        <f>IFERROR(INDEX(Расходка[Наименование расходного материала],MATCH(Расходка[[#This Row],[№]],Поиск_расходки[Индекс8],0)),"")</f>
        <v>Cougar LS Hydro-Track®</v>
      </c>
      <c r="Z27" s="114" t="str">
        <f>IFERROR(INDEX(Расходка[Наименование расходного материала],MATCH(Расходка[[#This Row],[№]],Поиск_расходки[Индекс9],0)),"")</f>
        <v>Cougar LS Hydro-Track®</v>
      </c>
      <c r="AA27" s="114" t="str">
        <f>IFERROR(INDEX(Расходка[Наименование расходного материала],MATCH(Расходка[[#This Row],[№]],Поиск_расходки[Индекс10],0)),"")</f>
        <v>Cougar LS Hydro-Track®</v>
      </c>
      <c r="AB27" s="114" t="str">
        <f>IFERROR(INDEX(Расходка[Наименование расходного материала],MATCH(Расходка[[#This Row],[№]],Поиск_расходки[Индекс11],0)),"")</f>
        <v>Cougar LS Hydro-Track®</v>
      </c>
      <c r="AC27" s="114" t="str">
        <f>IFERROR(INDEX(Расходка[Наименование расходного материала],MATCH(Расходка[[#This Row],[№]],Поиск_расходки[Индекс12],0)),"")</f>
        <v>Cougar LS Hydro-Track®</v>
      </c>
      <c r="AD27" s="114" t="str">
        <f>IFERROR(INDEX(Расходка[Наименование расходного материала],MATCH(Расходка[[#This Row],[№]],Поиск_расходки[Индекс13],0)),"")</f>
        <v>Cougar LS Hydro-Track®</v>
      </c>
      <c r="AF27" s="4" t="s">
        <v>5</v>
      </c>
      <c r="AG27" s="4" t="s">
        <v>422</v>
      </c>
    </row>
    <row r="28" spans="1:35">
      <c r="A28">
        <f>ROW(Расходка[[#This Row],[Тип расходного материала ]])-1</f>
        <v>27</v>
      </c>
      <c r="B28" t="s">
        <v>3</v>
      </c>
      <c r="C28" t="s">
        <v>340</v>
      </c>
      <c r="E28" s="115">
        <f>IF(ISNUMBER(SEARCH('Карта учёта'!$B$13,Расходка[[#This Row],[Наименование расходного материала]])),MAX($E$1:E27)+1,0)</f>
        <v>0</v>
      </c>
      <c r="F28" s="115">
        <f>IF(ISNUMBER(SEARCH('Карта учёта'!$B$14,Расходка[[#This Row],[Наименование расходного материала]])),MAX($F$1:F27)+1,0)</f>
        <v>0</v>
      </c>
      <c r="G28" s="115">
        <f>IF(ISNUMBER(SEARCH('Карта учёта'!$B$15,Расходка[[#This Row],[Наименование расходного материала]])),MAX($G$1:G27)+1,0)</f>
        <v>0</v>
      </c>
      <c r="H28" s="115">
        <f>IF(ISNUMBER(SEARCH('Карта учёта'!#REF!,Расходка[[#This Row],[Наименование расходного материала]])),MAX($H$1:H27)+1,0)</f>
        <v>0</v>
      </c>
      <c r="I28" s="115">
        <f>IF(ISNUMBER(SEARCH('Карта учёта'!$B$17,Расходка[[#This Row],[Наименование расходного материала]])),MAX($I$1:I27)+1,0)</f>
        <v>0</v>
      </c>
      <c r="J28" s="115">
        <f>IF(ISNUMBER(SEARCH('Карта учёта'!$B$18,Расходка[[#This Row],[Наименование расходного материала]])),MAX($J$1:J27)+1,0)</f>
        <v>27</v>
      </c>
      <c r="K28" s="115">
        <f>IF(ISNUMBER(SEARCH('Карта учёта'!$B$16,Расходка[[#This Row],[Наименование расходного материала]])),MAX($K$1:K27)+1,0)</f>
        <v>0</v>
      </c>
      <c r="L28" s="115">
        <f>IF(ISNUMBER(SEARCH('Карта учёта'!$B$20,Расходка[[#This Row],[Наименование расходного материала]])),MAX($L$1:L27)+1,0)</f>
        <v>27</v>
      </c>
      <c r="M28" s="115">
        <f>IF(ISNUMBER(SEARCH('Карта учёта'!$B$21,Расходка[[#This Row],[Наименование расходного материала]])),MAX($M$1:M27)+1,0)</f>
        <v>27</v>
      </c>
      <c r="N28" s="115">
        <f>IF(ISNUMBER(SEARCH('Карта учёта'!$B$22,Расходка[[#This Row],[Наименование расходного материала]])),MAX($N$1:N27)+1,0)</f>
        <v>27</v>
      </c>
      <c r="O28" s="115">
        <f>IF(ISNUMBER(SEARCH('Карта учёта'!$B$23,Расходка[[#This Row],[Наименование расходного материала]])),MAX($O$1:O27)+1,0)</f>
        <v>27</v>
      </c>
      <c r="P28" s="115">
        <f>IF(ISNUMBER(SEARCH('Карта учёта'!$B$24,Расходка[[#This Row],[Наименование расходного материала]])),MAX($P$1:P27)+1,0)</f>
        <v>27</v>
      </c>
      <c r="Q28" s="115">
        <f>IF(ISNUMBER(SEARCH('Карта учёта'!$B$25,Расходка[[#This Row],[Наименование расходного материала]])),MAX($Q$1:Q27)+1,0)</f>
        <v>27</v>
      </c>
      <c r="R28" s="114" t="str">
        <f>IFERROR(INDEX(Расходка[Наименование расходного материала],MATCH(Расходка[[#This Row],[№]],Поиск_расходки[Индекс1],0)),"")</f>
        <v/>
      </c>
      <c r="S28" s="114" t="str">
        <f>IFERROR(INDEX(Расходка[Наименование расходного материала],MATCH(Расходка[[#This Row],[№]],Поиск_расходки[Индекс2],0)),"")</f>
        <v/>
      </c>
      <c r="T28" s="114" t="str">
        <f>IFERROR(INDEX(Расходка[Наименование расходного материала],MATCH(Расходка[[#This Row],[№]],Поиск_расходки[Индекс3],0)),"")</f>
        <v/>
      </c>
      <c r="U28" s="114" t="str">
        <f>IFERROR(INDEX(Расходка[Наименование расходного материала],MATCH(Расходка[[#This Row],[№]],Поиск_расходки[Индекс4],0)),"")</f>
        <v/>
      </c>
      <c r="V28" s="114" t="str">
        <f>IFERROR(INDEX(Расходка[Наименование расходного материала],MATCH(Расходка[[#This Row],[№]],Поиск_расходки[Индекс5],0)),"")</f>
        <v/>
      </c>
      <c r="W28" s="114" t="str">
        <f>IFERROR(INDEX(Расходка[Наименование расходного материала],MATCH(Расходка[[#This Row],[№]],Поиск_расходки[Индекс6],0)),"")</f>
        <v>Cougar XT Hydro-Track®</v>
      </c>
      <c r="X28" s="114" t="str">
        <f>IFERROR(INDEX(Расходка[Наименование расходного материала],MATCH(Расходка[[#This Row],[№]],Поиск_расходки[Индекс7],0)),"")</f>
        <v/>
      </c>
      <c r="Y28" s="114" t="str">
        <f>IFERROR(INDEX(Расходка[Наименование расходного материала],MATCH(Расходка[[#This Row],[№]],Поиск_расходки[Индекс8],0)),"")</f>
        <v>Cougar XT Hydro-Track®</v>
      </c>
      <c r="Z28" s="114" t="str">
        <f>IFERROR(INDEX(Расходка[Наименование расходного материала],MATCH(Расходка[[#This Row],[№]],Поиск_расходки[Индекс9],0)),"")</f>
        <v>Cougar XT Hydro-Track®</v>
      </c>
      <c r="AA28" s="114" t="str">
        <f>IFERROR(INDEX(Расходка[Наименование расходного материала],MATCH(Расходка[[#This Row],[№]],Поиск_расходки[Индекс10],0)),"")</f>
        <v>Cougar XT Hydro-Track®</v>
      </c>
      <c r="AB28" s="114" t="str">
        <f>IFERROR(INDEX(Расходка[Наименование расходного материала],MATCH(Расходка[[#This Row],[№]],Поиск_расходки[Индекс11],0)),"")</f>
        <v>Cougar XT Hydro-Track®</v>
      </c>
      <c r="AC28" s="114" t="str">
        <f>IFERROR(INDEX(Расходка[Наименование расходного материала],MATCH(Расходка[[#This Row],[№]],Поиск_расходки[Индекс12],0)),"")</f>
        <v>Cougar XT Hydro-Track®</v>
      </c>
      <c r="AD28" s="114" t="str">
        <f>IFERROR(INDEX(Расходка[Наименование расходного материала],MATCH(Расходка[[#This Row],[№]],Поиск_расходки[Индекс13],0)),"")</f>
        <v>Cougar XT Hydro-Track®</v>
      </c>
      <c r="AF28" s="4" t="s">
        <v>5</v>
      </c>
      <c r="AG28" s="4" t="s">
        <v>423</v>
      </c>
    </row>
    <row r="29" spans="1:35">
      <c r="A29">
        <f>ROW(Расходка[[#This Row],[Тип расходного материала ]])-1</f>
        <v>28</v>
      </c>
      <c r="B29" t="s">
        <v>3</v>
      </c>
      <c r="C29" t="s">
        <v>312</v>
      </c>
      <c r="E29" s="115">
        <f>IF(ISNUMBER(SEARCH('Карта учёта'!$B$13,Расходка[[#This Row],[Наименование расходного материала]])),MAX($E$1:E28)+1,0)</f>
        <v>0</v>
      </c>
      <c r="F29" s="115">
        <f>IF(ISNUMBER(SEARCH('Карта учёта'!$B$14,Расходка[[#This Row],[Наименование расходного материала]])),MAX($F$1:F28)+1,0)</f>
        <v>0</v>
      </c>
      <c r="G29" s="115">
        <f>IF(ISNUMBER(SEARCH('Карта учёта'!$B$15,Расходка[[#This Row],[Наименование расходного материала]])),MAX($G$1:G28)+1,0)</f>
        <v>0</v>
      </c>
      <c r="H29" s="115">
        <f>IF(ISNUMBER(SEARCH('Карта учёта'!#REF!,Расходка[[#This Row],[Наименование расходного материала]])),MAX($H$1:H28)+1,0)</f>
        <v>0</v>
      </c>
      <c r="I29" s="115">
        <f>IF(ISNUMBER(SEARCH('Карта учёта'!$B$17,Расходка[[#This Row],[Наименование расходного материала]])),MAX($I$1:I28)+1,0)</f>
        <v>0</v>
      </c>
      <c r="J29" s="115">
        <f>IF(ISNUMBER(SEARCH('Карта учёта'!$B$18,Расходка[[#This Row],[Наименование расходного материала]])),MAX($J$1:J28)+1,0)</f>
        <v>28</v>
      </c>
      <c r="K29" s="115">
        <f>IF(ISNUMBER(SEARCH('Карта учёта'!$B$16,Расходка[[#This Row],[Наименование расходного материала]])),MAX($K$1:K28)+1,0)</f>
        <v>0</v>
      </c>
      <c r="L29" s="115">
        <f>IF(ISNUMBER(SEARCH('Карта учёта'!$B$20,Расходка[[#This Row],[Наименование расходного материала]])),MAX($L$1:L28)+1,0)</f>
        <v>28</v>
      </c>
      <c r="M29" s="115">
        <f>IF(ISNUMBER(SEARCH('Карта учёта'!$B$21,Расходка[[#This Row],[Наименование расходного материала]])),MAX($M$1:M28)+1,0)</f>
        <v>28</v>
      </c>
      <c r="N29" s="115">
        <f>IF(ISNUMBER(SEARCH('Карта учёта'!$B$22,Расходка[[#This Row],[Наименование расходного материала]])),MAX($N$1:N28)+1,0)</f>
        <v>28</v>
      </c>
      <c r="O29" s="115">
        <f>IF(ISNUMBER(SEARCH('Карта учёта'!$B$23,Расходка[[#This Row],[Наименование расходного материала]])),MAX($O$1:O28)+1,0)</f>
        <v>28</v>
      </c>
      <c r="P29" s="115">
        <f>IF(ISNUMBER(SEARCH('Карта учёта'!$B$24,Расходка[[#This Row],[Наименование расходного материала]])),MAX($P$1:P28)+1,0)</f>
        <v>28</v>
      </c>
      <c r="Q29" s="115">
        <f>IF(ISNUMBER(SEARCH('Карта учёта'!$B$25,Расходка[[#This Row],[Наименование расходного материала]])),MAX($Q$1:Q28)+1,0)</f>
        <v>28</v>
      </c>
      <c r="R29" s="114" t="str">
        <f>IFERROR(INDEX(Расходка[Наименование расходного материала],MATCH(Расходка[[#This Row],[№]],Поиск_расходки[Индекс1],0)),"")</f>
        <v/>
      </c>
      <c r="S29" s="114" t="str">
        <f>IFERROR(INDEX(Расходка[Наименование расходного материала],MATCH(Расходка[[#This Row],[№]],Поиск_расходки[Индекс2],0)),"")</f>
        <v/>
      </c>
      <c r="T29" s="114" t="str">
        <f>IFERROR(INDEX(Расходка[Наименование расходного материала],MATCH(Расходка[[#This Row],[№]],Поиск_расходки[Индекс3],0)),"")</f>
        <v/>
      </c>
      <c r="U29" s="114" t="str">
        <f>IFERROR(INDEX(Расходка[Наименование расходного материала],MATCH(Расходка[[#This Row],[№]],Поиск_расходки[Индекс4],0)),"")</f>
        <v/>
      </c>
      <c r="V29" s="114" t="str">
        <f>IFERROR(INDEX(Расходка[Наименование расходного материала],MATCH(Расходка[[#This Row],[№]],Поиск_расходки[Индекс5],0)),"")</f>
        <v/>
      </c>
      <c r="W29" s="114" t="str">
        <f>IFERROR(INDEX(Расходка[Наименование расходного материала],MATCH(Расходка[[#This Row],[№]],Поиск_расходки[Индекс6],0)),"")</f>
        <v>Fielder</v>
      </c>
      <c r="X29" s="114" t="str">
        <f>IFERROR(INDEX(Расходка[Наименование расходного материала],MATCH(Расходка[[#This Row],[№]],Поиск_расходки[Индекс7],0)),"")</f>
        <v/>
      </c>
      <c r="Y29" s="114" t="str">
        <f>IFERROR(INDEX(Расходка[Наименование расходного материала],MATCH(Расходка[[#This Row],[№]],Поиск_расходки[Индекс8],0)),"")</f>
        <v>Fielder</v>
      </c>
      <c r="Z29" s="114" t="str">
        <f>IFERROR(INDEX(Расходка[Наименование расходного материала],MATCH(Расходка[[#This Row],[№]],Поиск_расходки[Индекс9],0)),"")</f>
        <v>Fielder</v>
      </c>
      <c r="AA29" s="114" t="str">
        <f>IFERROR(INDEX(Расходка[Наименование расходного материала],MATCH(Расходка[[#This Row],[№]],Поиск_расходки[Индекс10],0)),"")</f>
        <v>Fielder</v>
      </c>
      <c r="AB29" s="114" t="str">
        <f>IFERROR(INDEX(Расходка[Наименование расходного материала],MATCH(Расходка[[#This Row],[№]],Поиск_расходки[Индекс11],0)),"")</f>
        <v>Fielder</v>
      </c>
      <c r="AC29" s="114" t="str">
        <f>IFERROR(INDEX(Расходка[Наименование расходного материала],MATCH(Расходка[[#This Row],[№]],Поиск_расходки[Индекс12],0)),"")</f>
        <v>Fielder</v>
      </c>
      <c r="AD29" s="114" t="str">
        <f>IFERROR(INDEX(Расходка[Наименование расходного материала],MATCH(Расходка[[#This Row],[№]],Поиск_расходки[Индекс13],0)),"")</f>
        <v>Fielder</v>
      </c>
      <c r="AF29" s="4" t="s">
        <v>5</v>
      </c>
      <c r="AG29" s="4" t="s">
        <v>424</v>
      </c>
    </row>
    <row r="30" spans="1:35">
      <c r="A30">
        <f>ROW(Расходка[[#This Row],[Тип расходного материала ]])-1</f>
        <v>29</v>
      </c>
      <c r="B30" t="s">
        <v>3</v>
      </c>
      <c r="C30" t="s">
        <v>370</v>
      </c>
      <c r="E30" s="115">
        <f>IF(ISNUMBER(SEARCH('Карта учёта'!$B$13,Расходка[[#This Row],[Наименование расходного материала]])),MAX($E$1:E29)+1,0)</f>
        <v>0</v>
      </c>
      <c r="F30" s="115">
        <f>IF(ISNUMBER(SEARCH('Карта учёта'!$B$14,Расходка[[#This Row],[Наименование расходного материала]])),MAX($F$1:F29)+1,0)</f>
        <v>0</v>
      </c>
      <c r="G30" s="115">
        <f>IF(ISNUMBER(SEARCH('Карта учёта'!$B$15,Расходка[[#This Row],[Наименование расходного материала]])),MAX($G$1:G29)+1,0)</f>
        <v>0</v>
      </c>
      <c r="H30" s="115">
        <f>IF(ISNUMBER(SEARCH('Карта учёта'!#REF!,Расходка[[#This Row],[Наименование расходного материала]])),MAX($H$1:H29)+1,0)</f>
        <v>0</v>
      </c>
      <c r="I30" s="115">
        <f>IF(ISNUMBER(SEARCH('Карта учёта'!$B$17,Расходка[[#This Row],[Наименование расходного материала]])),MAX($I$1:I29)+1,0)</f>
        <v>0</v>
      </c>
      <c r="J30" s="115">
        <f>IF(ISNUMBER(SEARCH('Карта учёта'!$B$18,Расходка[[#This Row],[Наименование расходного материала]])),MAX($J$1:J29)+1,0)</f>
        <v>29</v>
      </c>
      <c r="K30" s="115">
        <f>IF(ISNUMBER(SEARCH('Карта учёта'!$B$16,Расходка[[#This Row],[Наименование расходного материала]])),MAX($K$1:K29)+1,0)</f>
        <v>0</v>
      </c>
      <c r="L30" s="115">
        <f>IF(ISNUMBER(SEARCH('Карта учёта'!$B$20,Расходка[[#This Row],[Наименование расходного материала]])),MAX($L$1:L29)+1,0)</f>
        <v>29</v>
      </c>
      <c r="M30" s="115">
        <f>IF(ISNUMBER(SEARCH('Карта учёта'!$B$21,Расходка[[#This Row],[Наименование расходного материала]])),MAX($M$1:M29)+1,0)</f>
        <v>29</v>
      </c>
      <c r="N30" s="115">
        <f>IF(ISNUMBER(SEARCH('Карта учёта'!$B$22,Расходка[[#This Row],[Наименование расходного материала]])),MAX($N$1:N29)+1,0)</f>
        <v>29</v>
      </c>
      <c r="O30" s="115">
        <f>IF(ISNUMBER(SEARCH('Карта учёта'!$B$23,Расходка[[#This Row],[Наименование расходного материала]])),MAX($O$1:O29)+1,0)</f>
        <v>29</v>
      </c>
      <c r="P30" s="115">
        <f>IF(ISNUMBER(SEARCH('Карта учёта'!$B$24,Расходка[[#This Row],[Наименование расходного материала]])),MAX($P$1:P29)+1,0)</f>
        <v>29</v>
      </c>
      <c r="Q30" s="115">
        <f>IF(ISNUMBER(SEARCH('Карта учёта'!$B$25,Расходка[[#This Row],[Наименование расходного материала]])),MAX($Q$1:Q29)+1,0)</f>
        <v>29</v>
      </c>
      <c r="R30" s="114" t="str">
        <f>IFERROR(INDEX(Расходка[Наименование расходного материала],MATCH(Расходка[[#This Row],[№]],Поиск_расходки[Индекс1],0)),"")</f>
        <v/>
      </c>
      <c r="S30" s="114" t="str">
        <f>IFERROR(INDEX(Расходка[Наименование расходного материала],MATCH(Расходка[[#This Row],[№]],Поиск_расходки[Индекс2],0)),"")</f>
        <v/>
      </c>
      <c r="T30" s="114" t="str">
        <f>IFERROR(INDEX(Расходка[Наименование расходного материала],MATCH(Расходка[[#This Row],[№]],Поиск_расходки[Индекс3],0)),"")</f>
        <v/>
      </c>
      <c r="U30" s="114" t="str">
        <f>IFERROR(INDEX(Расходка[Наименование расходного материала],MATCH(Расходка[[#This Row],[№]],Поиск_расходки[Индекс4],0)),"")</f>
        <v/>
      </c>
      <c r="V30" s="114" t="str">
        <f>IFERROR(INDEX(Расходка[Наименование расходного материала],MATCH(Расходка[[#This Row],[№]],Поиск_расходки[Индекс5],0)),"")</f>
        <v/>
      </c>
      <c r="W30" s="114" t="str">
        <f>IFERROR(INDEX(Расходка[Наименование расходного материала],MATCH(Расходка[[#This Row],[№]],Поиск_расходки[Индекс6],0)),"")</f>
        <v>Fielder XT-A</v>
      </c>
      <c r="X30" s="114" t="str">
        <f>IFERROR(INDEX(Расходка[Наименование расходного материала],MATCH(Расходка[[#This Row],[№]],Поиск_расходки[Индекс7],0)),"")</f>
        <v/>
      </c>
      <c r="Y30" s="114" t="str">
        <f>IFERROR(INDEX(Расходка[Наименование расходного материала],MATCH(Расходка[[#This Row],[№]],Поиск_расходки[Индекс8],0)),"")</f>
        <v>Fielder XT-A</v>
      </c>
      <c r="Z30" s="114" t="str">
        <f>IFERROR(INDEX(Расходка[Наименование расходного материала],MATCH(Расходка[[#This Row],[№]],Поиск_расходки[Индекс9],0)),"")</f>
        <v>Fielder XT-A</v>
      </c>
      <c r="AA30" s="114" t="str">
        <f>IFERROR(INDEX(Расходка[Наименование расходного материала],MATCH(Расходка[[#This Row],[№]],Поиск_расходки[Индекс10],0)),"")</f>
        <v>Fielder XT-A</v>
      </c>
      <c r="AB30" s="114" t="str">
        <f>IFERROR(INDEX(Расходка[Наименование расходного материала],MATCH(Расходка[[#This Row],[№]],Поиск_расходки[Индекс11],0)),"")</f>
        <v>Fielder XT-A</v>
      </c>
      <c r="AC30" s="114" t="str">
        <f>IFERROR(INDEX(Расходка[Наименование расходного материала],MATCH(Расходка[[#This Row],[№]],Поиск_расходки[Индекс12],0)),"")</f>
        <v>Fielder XT-A</v>
      </c>
      <c r="AD30" s="114" t="str">
        <f>IFERROR(INDEX(Расходка[Наименование расходного материала],MATCH(Расходка[[#This Row],[№]],Поиск_расходки[Индекс13],0)),"")</f>
        <v>Fielder XT-A</v>
      </c>
      <c r="AF30" s="4" t="s">
        <v>5</v>
      </c>
      <c r="AG30" s="4" t="s">
        <v>486</v>
      </c>
    </row>
    <row r="31" spans="1:35">
      <c r="A31">
        <f>ROW(Расходка[[#This Row],[Тип расходного материала ]])-1</f>
        <v>30</v>
      </c>
      <c r="B31" t="s">
        <v>3</v>
      </c>
      <c r="C31" t="s">
        <v>371</v>
      </c>
      <c r="E31" s="115">
        <f>IF(ISNUMBER(SEARCH('Карта учёта'!$B$13,Расходка[[#This Row],[Наименование расходного материала]])),MAX($E$1:E30)+1,0)</f>
        <v>0</v>
      </c>
      <c r="F31" s="115">
        <f>IF(ISNUMBER(SEARCH('Карта учёта'!$B$14,Расходка[[#This Row],[Наименование расходного материала]])),MAX($F$1:F30)+1,0)</f>
        <v>0</v>
      </c>
      <c r="G31" s="115">
        <f>IF(ISNUMBER(SEARCH('Карта учёта'!$B$15,Расходка[[#This Row],[Наименование расходного материала]])),MAX($G$1:G30)+1,0)</f>
        <v>0</v>
      </c>
      <c r="H31" s="115">
        <f>IF(ISNUMBER(SEARCH('Карта учёта'!#REF!,Расходка[[#This Row],[Наименование расходного материала]])),MAX($H$1:H30)+1,0)</f>
        <v>0</v>
      </c>
      <c r="I31" s="115">
        <f>IF(ISNUMBER(SEARCH('Карта учёта'!$B$17,Расходка[[#This Row],[Наименование расходного материала]])),MAX($I$1:I30)+1,0)</f>
        <v>0</v>
      </c>
      <c r="J31" s="115">
        <f>IF(ISNUMBER(SEARCH('Карта учёта'!$B$18,Расходка[[#This Row],[Наименование расходного материала]])),MAX($J$1:J30)+1,0)</f>
        <v>30</v>
      </c>
      <c r="K31" s="115">
        <f>IF(ISNUMBER(SEARCH('Карта учёта'!$B$16,Расходка[[#This Row],[Наименование расходного материала]])),MAX($K$1:K30)+1,0)</f>
        <v>0</v>
      </c>
      <c r="L31" s="115">
        <f>IF(ISNUMBER(SEARCH('Карта учёта'!$B$20,Расходка[[#This Row],[Наименование расходного материала]])),MAX($L$1:L30)+1,0)</f>
        <v>30</v>
      </c>
      <c r="M31" s="115">
        <f>IF(ISNUMBER(SEARCH('Карта учёта'!$B$21,Расходка[[#This Row],[Наименование расходного материала]])),MAX($M$1:M30)+1,0)</f>
        <v>30</v>
      </c>
      <c r="N31" s="115">
        <f>IF(ISNUMBER(SEARCH('Карта учёта'!$B$22,Расходка[[#This Row],[Наименование расходного материала]])),MAX($N$1:N30)+1,0)</f>
        <v>30</v>
      </c>
      <c r="O31" s="115">
        <f>IF(ISNUMBER(SEARCH('Карта учёта'!$B$23,Расходка[[#This Row],[Наименование расходного материала]])),MAX($O$1:O30)+1,0)</f>
        <v>30</v>
      </c>
      <c r="P31" s="115">
        <f>IF(ISNUMBER(SEARCH('Карта учёта'!$B$24,Расходка[[#This Row],[Наименование расходного материала]])),MAX($P$1:P30)+1,0)</f>
        <v>30</v>
      </c>
      <c r="Q31" s="115">
        <f>IF(ISNUMBER(SEARCH('Карта учёта'!$B$25,Расходка[[#This Row],[Наименование расходного материала]])),MAX($Q$1:Q30)+1,0)</f>
        <v>30</v>
      </c>
      <c r="R31" s="114" t="str">
        <f>IFERROR(INDEX(Расходка[Наименование расходного материала],MATCH(Расходка[[#This Row],[№]],Поиск_расходки[Индекс1],0)),"")</f>
        <v/>
      </c>
      <c r="S31" s="114" t="str">
        <f>IFERROR(INDEX(Расходка[Наименование расходного материала],MATCH(Расходка[[#This Row],[№]],Поиск_расходки[Индекс2],0)),"")</f>
        <v/>
      </c>
      <c r="T31" s="114" t="str">
        <f>IFERROR(INDEX(Расходка[Наименование расходного материала],MATCH(Расходка[[#This Row],[№]],Поиск_расходки[Индекс3],0)),"")</f>
        <v/>
      </c>
      <c r="U31" s="114" t="str">
        <f>IFERROR(INDEX(Расходка[Наименование расходного материала],MATCH(Расходка[[#This Row],[№]],Поиск_расходки[Индекс4],0)),"")</f>
        <v/>
      </c>
      <c r="V31" s="114" t="str">
        <f>IFERROR(INDEX(Расходка[Наименование расходного материала],MATCH(Расходка[[#This Row],[№]],Поиск_расходки[Индекс5],0)),"")</f>
        <v/>
      </c>
      <c r="W31" s="114" t="str">
        <f>IFERROR(INDEX(Расходка[Наименование расходного материала],MATCH(Расходка[[#This Row],[№]],Поиск_расходки[Индекс6],0)),"")</f>
        <v>Fielder XT-R</v>
      </c>
      <c r="X31" s="114" t="str">
        <f>IFERROR(INDEX(Расходка[Наименование расходного материала],MATCH(Расходка[[#This Row],[№]],Поиск_расходки[Индекс7],0)),"")</f>
        <v/>
      </c>
      <c r="Y31" s="114" t="str">
        <f>IFERROR(INDEX(Расходка[Наименование расходного материала],MATCH(Расходка[[#This Row],[№]],Поиск_расходки[Индекс8],0)),"")</f>
        <v>Fielder XT-R</v>
      </c>
      <c r="Z31" s="114" t="str">
        <f>IFERROR(INDEX(Расходка[Наименование расходного материала],MATCH(Расходка[[#This Row],[№]],Поиск_расходки[Индекс9],0)),"")</f>
        <v>Fielder XT-R</v>
      </c>
      <c r="AA31" s="114" t="str">
        <f>IFERROR(INDEX(Расходка[Наименование расходного материала],MATCH(Расходка[[#This Row],[№]],Поиск_расходки[Индекс10],0)),"")</f>
        <v>Fielder XT-R</v>
      </c>
      <c r="AB31" s="114" t="str">
        <f>IFERROR(INDEX(Расходка[Наименование расходного материала],MATCH(Расходка[[#This Row],[№]],Поиск_расходки[Индекс11],0)),"")</f>
        <v>Fielder XT-R</v>
      </c>
      <c r="AC31" s="114" t="str">
        <f>IFERROR(INDEX(Расходка[Наименование расходного материала],MATCH(Расходка[[#This Row],[№]],Поиск_расходки[Индекс12],0)),"")</f>
        <v>Fielder XT-R</v>
      </c>
      <c r="AD31" s="114" t="str">
        <f>IFERROR(INDEX(Расходка[Наименование расходного материала],MATCH(Расходка[[#This Row],[№]],Поиск_расходки[Индекс13],0)),"")</f>
        <v>Fielder XT-R</v>
      </c>
      <c r="AF31" s="4" t="s">
        <v>5</v>
      </c>
      <c r="AG31" s="4" t="s">
        <v>425</v>
      </c>
    </row>
    <row r="32" spans="1:35">
      <c r="A32">
        <f>ROW(Расходка[[#This Row],[Тип расходного материала ]])-1</f>
        <v>31</v>
      </c>
      <c r="B32" t="s">
        <v>3</v>
      </c>
      <c r="C32" t="s">
        <v>507</v>
      </c>
      <c r="E32" s="115">
        <f>IF(ISNUMBER(SEARCH('Карта учёта'!$B$13,Расходка[[#This Row],[Наименование расходного материала]])),MAX($E$1:E31)+1,0)</f>
        <v>0</v>
      </c>
      <c r="F32" s="115">
        <f>IF(ISNUMBER(SEARCH('Карта учёта'!$B$14,Расходка[[#This Row],[Наименование расходного материала]])),MAX($F$1:F31)+1,0)</f>
        <v>0</v>
      </c>
      <c r="G32" s="115">
        <f>IF(ISNUMBER(SEARCH('Карта учёта'!$B$15,Расходка[[#This Row],[Наименование расходного материала]])),MAX($G$1:G31)+1,0)</f>
        <v>0</v>
      </c>
      <c r="H32" s="115">
        <f>IF(ISNUMBER(SEARCH('Карта учёта'!#REF!,Расходка[[#This Row],[Наименование расходного материала]])),MAX($H$1:H31)+1,0)</f>
        <v>0</v>
      </c>
      <c r="I32" s="115">
        <f>IF(ISNUMBER(SEARCH('Карта учёта'!$B$17,Расходка[[#This Row],[Наименование расходного материала]])),MAX($I$1:I31)+1,0)</f>
        <v>0</v>
      </c>
      <c r="J32" s="115">
        <f>IF(ISNUMBER(SEARCH('Карта учёта'!$B$18,Расходка[[#This Row],[Наименование расходного материала]])),MAX($J$1:J31)+1,0)</f>
        <v>31</v>
      </c>
      <c r="K32" s="115">
        <f>IF(ISNUMBER(SEARCH('Карта учёта'!$B$16,Расходка[[#This Row],[Наименование расходного материала]])),MAX($K$1:K31)+1,0)</f>
        <v>0</v>
      </c>
      <c r="L32" s="115">
        <f>IF(ISNUMBER(SEARCH('Карта учёта'!$B$20,Расходка[[#This Row],[Наименование расходного материала]])),MAX($L$1:L31)+1,0)</f>
        <v>31</v>
      </c>
      <c r="M32" s="115">
        <f>IF(ISNUMBER(SEARCH('Карта учёта'!$B$21,Расходка[[#This Row],[Наименование расходного материала]])),MAX($M$1:M31)+1,0)</f>
        <v>31</v>
      </c>
      <c r="N32" s="115">
        <f>IF(ISNUMBER(SEARCH('Карта учёта'!$B$22,Расходка[[#This Row],[Наименование расходного материала]])),MAX($N$1:N31)+1,0)</f>
        <v>31</v>
      </c>
      <c r="O32" s="115">
        <f>IF(ISNUMBER(SEARCH('Карта учёта'!$B$23,Расходка[[#This Row],[Наименование расходного материала]])),MAX($O$1:O31)+1,0)</f>
        <v>31</v>
      </c>
      <c r="P32" s="115">
        <f>IF(ISNUMBER(SEARCH('Карта учёта'!$B$24,Расходка[[#This Row],[Наименование расходного материала]])),MAX($P$1:P31)+1,0)</f>
        <v>31</v>
      </c>
      <c r="Q32" s="115">
        <f>IF(ISNUMBER(SEARCH('Карта учёта'!$B$25,Расходка[[#This Row],[Наименование расходного материала]])),MAX($Q$1:Q31)+1,0)</f>
        <v>31</v>
      </c>
      <c r="R32" s="114" t="str">
        <f>IFERROR(INDEX(Расходка[Наименование расходного материала],MATCH(Расходка[[#This Row],[№]],Поиск_расходки[Индекс1],0)),"")</f>
        <v/>
      </c>
      <c r="S32" s="114" t="str">
        <f>IFERROR(INDEX(Расходка[Наименование расходного материала],MATCH(Расходка[[#This Row],[№]],Поиск_расходки[Индекс2],0)),"")</f>
        <v/>
      </c>
      <c r="T32" s="114" t="str">
        <f>IFERROR(INDEX(Расходка[Наименование расходного материала],MATCH(Расходка[[#This Row],[№]],Поиск_расходки[Индекс3],0)),"")</f>
        <v/>
      </c>
      <c r="U32" s="114" t="str">
        <f>IFERROR(INDEX(Расходка[Наименование расходного материала],MATCH(Расходка[[#This Row],[№]],Поиск_расходки[Индекс4],0)),"")</f>
        <v/>
      </c>
      <c r="V32" s="114" t="str">
        <f>IFERROR(INDEX(Расходка[Наименование расходного материала],MATCH(Расходка[[#This Row],[№]],Поиск_расходки[Индекс5],0)),"")</f>
        <v/>
      </c>
      <c r="W32" s="114" t="str">
        <f>IFERROR(INDEX(Расходка[Наименование расходного материала],MATCH(Расходка[[#This Row],[№]],Поиск_расходки[Индекс6],0)),"")</f>
        <v>Asahi Gaia First</v>
      </c>
      <c r="X32" s="114" t="str">
        <f>IFERROR(INDEX(Расходка[Наименование расходного материала],MATCH(Расходка[[#This Row],[№]],Поиск_расходки[Индекс7],0)),"")</f>
        <v/>
      </c>
      <c r="Y32" s="114" t="str">
        <f>IFERROR(INDEX(Расходка[Наименование расходного материала],MATCH(Расходка[[#This Row],[№]],Поиск_расходки[Индекс8],0)),"")</f>
        <v>Asahi Gaia First</v>
      </c>
      <c r="Z32" s="114" t="str">
        <f>IFERROR(INDEX(Расходка[Наименование расходного материала],MATCH(Расходка[[#This Row],[№]],Поиск_расходки[Индекс9],0)),"")</f>
        <v>Asahi Gaia First</v>
      </c>
      <c r="AA32" s="114" t="str">
        <f>IFERROR(INDEX(Расходка[Наименование расходного материала],MATCH(Расходка[[#This Row],[№]],Поиск_расходки[Индекс10],0)),"")</f>
        <v>Asahi Gaia First</v>
      </c>
      <c r="AB32" s="114" t="str">
        <f>IFERROR(INDEX(Расходка[Наименование расходного материала],MATCH(Расходка[[#This Row],[№]],Поиск_расходки[Индекс11],0)),"")</f>
        <v>Asahi Gaia First</v>
      </c>
      <c r="AC32" s="114" t="str">
        <f>IFERROR(INDEX(Расходка[Наименование расходного материала],MATCH(Расходка[[#This Row],[№]],Поиск_расходки[Индекс12],0)),"")</f>
        <v>Asahi Gaia First</v>
      </c>
      <c r="AD32" s="114" t="str">
        <f>IFERROR(INDEX(Расходка[Наименование расходного материала],MATCH(Расходка[[#This Row],[№]],Поиск_расходки[Индекс13],0)),"")</f>
        <v>Asahi Gaia First</v>
      </c>
      <c r="AF32" s="4" t="s">
        <v>5</v>
      </c>
      <c r="AG32" s="4" t="s">
        <v>426</v>
      </c>
    </row>
    <row r="33" spans="1:33">
      <c r="A33">
        <f>ROW(Расходка[[#This Row],[Тип расходного материала ]])-1</f>
        <v>32</v>
      </c>
      <c r="B33" t="s">
        <v>3</v>
      </c>
      <c r="C33" s="1" t="s">
        <v>508</v>
      </c>
      <c r="E33" s="115">
        <f>IF(ISNUMBER(SEARCH('Карта учёта'!$B$13,Расходка[[#This Row],[Наименование расходного материала]])),MAX($E$1:E32)+1,0)</f>
        <v>0</v>
      </c>
      <c r="F33" s="115">
        <f>IF(ISNUMBER(SEARCH('Карта учёта'!$B$14,Расходка[[#This Row],[Наименование расходного материала]])),MAX($F$1:F32)+1,0)</f>
        <v>0</v>
      </c>
      <c r="G33" s="115">
        <f>IF(ISNUMBER(SEARCH('Карта учёта'!$B$15,Расходка[[#This Row],[Наименование расходного материала]])),MAX($G$1:G32)+1,0)</f>
        <v>0</v>
      </c>
      <c r="H33" s="115">
        <f>IF(ISNUMBER(SEARCH('Карта учёта'!#REF!,Расходка[[#This Row],[Наименование расходного материала]])),MAX($H$1:H32)+1,0)</f>
        <v>0</v>
      </c>
      <c r="I33" s="115">
        <f>IF(ISNUMBER(SEARCH('Карта учёта'!$B$17,Расходка[[#This Row],[Наименование расходного материала]])),MAX($I$1:I32)+1,0)</f>
        <v>0</v>
      </c>
      <c r="J33" s="115">
        <f>IF(ISNUMBER(SEARCH('Карта учёта'!$B$18,Расходка[[#This Row],[Наименование расходного материала]])),MAX($J$1:J32)+1,0)</f>
        <v>32</v>
      </c>
      <c r="K33" s="115">
        <f>IF(ISNUMBER(SEARCH('Карта учёта'!$B$16,Расходка[[#This Row],[Наименование расходного материала]])),MAX($K$1:K32)+1,0)</f>
        <v>0</v>
      </c>
      <c r="L33" s="115">
        <f>IF(ISNUMBER(SEARCH('Карта учёта'!$B$20,Расходка[[#This Row],[Наименование расходного материала]])),MAX($L$1:L32)+1,0)</f>
        <v>32</v>
      </c>
      <c r="M33" s="115">
        <f>IF(ISNUMBER(SEARCH('Карта учёта'!$B$21,Расходка[[#This Row],[Наименование расходного материала]])),MAX($M$1:M32)+1,0)</f>
        <v>32</v>
      </c>
      <c r="N33" s="115">
        <f>IF(ISNUMBER(SEARCH('Карта учёта'!$B$22,Расходка[[#This Row],[Наименование расходного материала]])),MAX($N$1:N32)+1,0)</f>
        <v>32</v>
      </c>
      <c r="O33" s="115">
        <f>IF(ISNUMBER(SEARCH('Карта учёта'!$B$23,Расходка[[#This Row],[Наименование расходного материала]])),MAX($O$1:O32)+1,0)</f>
        <v>32</v>
      </c>
      <c r="P33" s="115">
        <f>IF(ISNUMBER(SEARCH('Карта учёта'!$B$24,Расходка[[#This Row],[Наименование расходного материала]])),MAX($P$1:P32)+1,0)</f>
        <v>32</v>
      </c>
      <c r="Q33" s="115">
        <f>IF(ISNUMBER(SEARCH('Карта учёта'!$B$25,Расходка[[#This Row],[Наименование расходного материала]])),MAX($Q$1:Q32)+1,0)</f>
        <v>32</v>
      </c>
      <c r="R33" s="114" t="str">
        <f>IFERROR(INDEX(Расходка[Наименование расходного материала],MATCH(Расходка[[#This Row],[№]],Поиск_расходки[Индекс1],0)),"")</f>
        <v/>
      </c>
      <c r="S33" s="114" t="str">
        <f>IFERROR(INDEX(Расходка[Наименование расходного материала],MATCH(Расходка[[#This Row],[№]],Поиск_расходки[Индекс2],0)),"")</f>
        <v/>
      </c>
      <c r="T33" s="114" t="str">
        <f>IFERROR(INDEX(Расходка[Наименование расходного материала],MATCH(Расходка[[#This Row],[№]],Поиск_расходки[Индекс3],0)),"")</f>
        <v/>
      </c>
      <c r="U33" s="114" t="str">
        <f>IFERROR(INDEX(Расходка[Наименование расходного материала],MATCH(Расходка[[#This Row],[№]],Поиск_расходки[Индекс4],0)),"")</f>
        <v/>
      </c>
      <c r="V33" s="114" t="str">
        <f>IFERROR(INDEX(Расходка[Наименование расходного материала],MATCH(Расходка[[#This Row],[№]],Поиск_расходки[Индекс5],0)),"")</f>
        <v/>
      </c>
      <c r="W33" s="114" t="str">
        <f>IFERROR(INDEX(Расходка[Наименование расходного материала],MATCH(Расходка[[#This Row],[№]],Поиск_расходки[Индекс6],0)),"")</f>
        <v>Asahi Gaia Second</v>
      </c>
      <c r="X33" s="114" t="str">
        <f>IFERROR(INDEX(Расходка[Наименование расходного материала],MATCH(Расходка[[#This Row],[№]],Поиск_расходки[Индекс7],0)),"")</f>
        <v/>
      </c>
      <c r="Y33" s="114" t="str">
        <f>IFERROR(INDEX(Расходка[Наименование расходного материала],MATCH(Расходка[[#This Row],[№]],Поиск_расходки[Индекс8],0)),"")</f>
        <v>Asahi Gaia Second</v>
      </c>
      <c r="Z33" s="114" t="str">
        <f>IFERROR(INDEX(Расходка[Наименование расходного материала],MATCH(Расходка[[#This Row],[№]],Поиск_расходки[Индекс9],0)),"")</f>
        <v>Asahi Gaia Second</v>
      </c>
      <c r="AA33" s="114" t="str">
        <f>IFERROR(INDEX(Расходка[Наименование расходного материала],MATCH(Расходка[[#This Row],[№]],Поиск_расходки[Индекс10],0)),"")</f>
        <v>Asahi Gaia Second</v>
      </c>
      <c r="AB33" s="114" t="str">
        <f>IFERROR(INDEX(Расходка[Наименование расходного материала],MATCH(Расходка[[#This Row],[№]],Поиск_расходки[Индекс11],0)),"")</f>
        <v>Asahi Gaia Second</v>
      </c>
      <c r="AC33" s="114" t="str">
        <f>IFERROR(INDEX(Расходка[Наименование расходного материала],MATCH(Расходка[[#This Row],[№]],Поиск_расходки[Индекс12],0)),"")</f>
        <v>Asahi Gaia Second</v>
      </c>
      <c r="AD33" s="114" t="str">
        <f>IFERROR(INDEX(Расходка[Наименование расходного материала],MATCH(Расходка[[#This Row],[№]],Поиск_расходки[Индекс13],0)),"")</f>
        <v>Asahi Gaia Second</v>
      </c>
      <c r="AF33" s="4" t="s">
        <v>5</v>
      </c>
      <c r="AG33" s="4" t="s">
        <v>427</v>
      </c>
    </row>
    <row r="34" spans="1:33">
      <c r="A34">
        <f>ROW(Расходка[[#This Row],[Тип расходного материала ]])-1</f>
        <v>33</v>
      </c>
      <c r="B34" t="s">
        <v>3</v>
      </c>
      <c r="C34" s="1" t="s">
        <v>509</v>
      </c>
      <c r="E34" s="115">
        <f>IF(ISNUMBER(SEARCH('Карта учёта'!$B$13,Расходка[[#This Row],[Наименование расходного материала]])),MAX($E$1:E33)+1,0)</f>
        <v>0</v>
      </c>
      <c r="F34" s="115">
        <f>IF(ISNUMBER(SEARCH('Карта учёта'!$B$14,Расходка[[#This Row],[Наименование расходного материала]])),MAX($F$1:F33)+1,0)</f>
        <v>0</v>
      </c>
      <c r="G34" s="115">
        <f>IF(ISNUMBER(SEARCH('Карта учёта'!$B$15,Расходка[[#This Row],[Наименование расходного материала]])),MAX($G$1:G33)+1,0)</f>
        <v>0</v>
      </c>
      <c r="H34" s="115">
        <f>IF(ISNUMBER(SEARCH('Карта учёта'!#REF!,Расходка[[#This Row],[Наименование расходного материала]])),MAX($H$1:H33)+1,0)</f>
        <v>0</v>
      </c>
      <c r="I34" s="115">
        <f>IF(ISNUMBER(SEARCH('Карта учёта'!$B$17,Расходка[[#This Row],[Наименование расходного материала]])),MAX($I$1:I33)+1,0)</f>
        <v>0</v>
      </c>
      <c r="J34" s="115">
        <f>IF(ISNUMBER(SEARCH('Карта учёта'!$B$18,Расходка[[#This Row],[Наименование расходного материала]])),MAX($J$1:J33)+1,0)</f>
        <v>33</v>
      </c>
      <c r="K34" s="115">
        <f>IF(ISNUMBER(SEARCH('Карта учёта'!$B$16,Расходка[[#This Row],[Наименование расходного материала]])),MAX($K$1:K33)+1,0)</f>
        <v>0</v>
      </c>
      <c r="L34" s="115">
        <f>IF(ISNUMBER(SEARCH('Карта учёта'!$B$20,Расходка[[#This Row],[Наименование расходного материала]])),MAX($L$1:L33)+1,0)</f>
        <v>33</v>
      </c>
      <c r="M34" s="115">
        <f>IF(ISNUMBER(SEARCH('Карта учёта'!$B$21,Расходка[[#This Row],[Наименование расходного материала]])),MAX($M$1:M33)+1,0)</f>
        <v>33</v>
      </c>
      <c r="N34" s="115">
        <f>IF(ISNUMBER(SEARCH('Карта учёта'!$B$22,Расходка[[#This Row],[Наименование расходного материала]])),MAX($N$1:N33)+1,0)</f>
        <v>33</v>
      </c>
      <c r="O34" s="115">
        <f>IF(ISNUMBER(SEARCH('Карта учёта'!$B$23,Расходка[[#This Row],[Наименование расходного материала]])),MAX($O$1:O33)+1,0)</f>
        <v>33</v>
      </c>
      <c r="P34" s="115">
        <f>IF(ISNUMBER(SEARCH('Карта учёта'!$B$24,Расходка[[#This Row],[Наименование расходного материала]])),MAX($P$1:P33)+1,0)</f>
        <v>33</v>
      </c>
      <c r="Q34" s="115">
        <f>IF(ISNUMBER(SEARCH('Карта учёта'!$B$25,Расходка[[#This Row],[Наименование расходного материала]])),MAX($Q$1:Q33)+1,0)</f>
        <v>33</v>
      </c>
      <c r="R34" s="114" t="str">
        <f>IFERROR(INDEX(Расходка[Наименование расходного материала],MATCH(Расходка[[#This Row],[№]],Поиск_расходки[Индекс1],0)),"")</f>
        <v/>
      </c>
      <c r="S34" s="114" t="str">
        <f>IFERROR(INDEX(Расходка[Наименование расходного материала],MATCH(Расходка[[#This Row],[№]],Поиск_расходки[Индекс2],0)),"")</f>
        <v/>
      </c>
      <c r="T34" s="114" t="str">
        <f>IFERROR(INDEX(Расходка[Наименование расходного материала],MATCH(Расходка[[#This Row],[№]],Поиск_расходки[Индекс3],0)),"")</f>
        <v/>
      </c>
      <c r="U34" s="114" t="str">
        <f>IFERROR(INDEX(Расходка[Наименование расходного материала],MATCH(Расходка[[#This Row],[№]],Поиск_расходки[Индекс4],0)),"")</f>
        <v/>
      </c>
      <c r="V34" s="114" t="str">
        <f>IFERROR(INDEX(Расходка[Наименование расходного материала],MATCH(Расходка[[#This Row],[№]],Поиск_расходки[Индекс5],0)),"")</f>
        <v/>
      </c>
      <c r="W34" s="114" t="str">
        <f>IFERROR(INDEX(Расходка[Наименование расходного материала],MATCH(Расходка[[#This Row],[№]],Поиск_расходки[Индекс6],0)),"")</f>
        <v>Asahi Gaia Third</v>
      </c>
      <c r="X34" s="114" t="str">
        <f>IFERROR(INDEX(Расходка[Наименование расходного материала],MATCH(Расходка[[#This Row],[№]],Поиск_расходки[Индекс7],0)),"")</f>
        <v/>
      </c>
      <c r="Y34" s="114" t="str">
        <f>IFERROR(INDEX(Расходка[Наименование расходного материала],MATCH(Расходка[[#This Row],[№]],Поиск_расходки[Индекс8],0)),"")</f>
        <v>Asahi Gaia Third</v>
      </c>
      <c r="Z34" s="114" t="str">
        <f>IFERROR(INDEX(Расходка[Наименование расходного материала],MATCH(Расходка[[#This Row],[№]],Поиск_расходки[Индекс9],0)),"")</f>
        <v>Asahi Gaia Third</v>
      </c>
      <c r="AA34" s="114" t="str">
        <f>IFERROR(INDEX(Расходка[Наименование расходного материала],MATCH(Расходка[[#This Row],[№]],Поиск_расходки[Индекс10],0)),"")</f>
        <v>Asahi Gaia Third</v>
      </c>
      <c r="AB34" s="114" t="str">
        <f>IFERROR(INDEX(Расходка[Наименование расходного материала],MATCH(Расходка[[#This Row],[№]],Поиск_расходки[Индекс11],0)),"")</f>
        <v>Asahi Gaia Third</v>
      </c>
      <c r="AC34" s="114" t="str">
        <f>IFERROR(INDEX(Расходка[Наименование расходного материала],MATCH(Расходка[[#This Row],[№]],Поиск_расходки[Индекс12],0)),"")</f>
        <v>Asahi Gaia Third</v>
      </c>
      <c r="AD34" s="114" t="str">
        <f>IFERROR(INDEX(Расходка[Наименование расходного материала],MATCH(Расходка[[#This Row],[№]],Поиск_расходки[Индекс13],0)),"")</f>
        <v>Asahi Gaia Third</v>
      </c>
      <c r="AF34" s="4" t="s">
        <v>5</v>
      </c>
      <c r="AG34" s="4" t="s">
        <v>428</v>
      </c>
    </row>
    <row r="35" spans="1:33">
      <c r="A35">
        <f>ROW(Расходка[[#This Row],[Тип расходного материала ]])-1</f>
        <v>34</v>
      </c>
      <c r="B35" t="s">
        <v>3</v>
      </c>
      <c r="C35" s="1" t="s">
        <v>320</v>
      </c>
      <c r="E35" s="115">
        <f>IF(ISNUMBER(SEARCH('Карта учёта'!$B$13,Расходка[[#This Row],[Наименование расходного материала]])),MAX($E$1:E34)+1,0)</f>
        <v>0</v>
      </c>
      <c r="F35" s="115">
        <f>IF(ISNUMBER(SEARCH('Карта учёта'!$B$14,Расходка[[#This Row],[Наименование расходного материала]])),MAX($F$1:F34)+1,0)</f>
        <v>0</v>
      </c>
      <c r="G35" s="115">
        <f>IF(ISNUMBER(SEARCH('Карта учёта'!$B$15,Расходка[[#This Row],[Наименование расходного материала]])),MAX($G$1:G34)+1,0)</f>
        <v>0</v>
      </c>
      <c r="H35" s="115">
        <f>IF(ISNUMBER(SEARCH('Карта учёта'!#REF!,Расходка[[#This Row],[Наименование расходного материала]])),MAX($H$1:H34)+1,0)</f>
        <v>0</v>
      </c>
      <c r="I35" s="115">
        <f>IF(ISNUMBER(SEARCH('Карта учёта'!$B$17,Расходка[[#This Row],[Наименование расходного материала]])),MAX($I$1:I34)+1,0)</f>
        <v>0</v>
      </c>
      <c r="J35" s="115">
        <f>IF(ISNUMBER(SEARCH('Карта учёта'!$B$18,Расходка[[#This Row],[Наименование расходного материала]])),MAX($J$1:J34)+1,0)</f>
        <v>34</v>
      </c>
      <c r="K35" s="115">
        <f>IF(ISNUMBER(SEARCH('Карта учёта'!$B$16,Расходка[[#This Row],[Наименование расходного материала]])),MAX($K$1:K34)+1,0)</f>
        <v>0</v>
      </c>
      <c r="L35" s="115">
        <f>IF(ISNUMBER(SEARCH('Карта учёта'!$B$20,Расходка[[#This Row],[Наименование расходного материала]])),MAX($L$1:L34)+1,0)</f>
        <v>34</v>
      </c>
      <c r="M35" s="115">
        <f>IF(ISNUMBER(SEARCH('Карта учёта'!$B$21,Расходка[[#This Row],[Наименование расходного материала]])),MAX($M$1:M34)+1,0)</f>
        <v>34</v>
      </c>
      <c r="N35" s="115">
        <f>IF(ISNUMBER(SEARCH('Карта учёта'!$B$22,Расходка[[#This Row],[Наименование расходного материала]])),MAX($N$1:N34)+1,0)</f>
        <v>34</v>
      </c>
      <c r="O35" s="115">
        <f>IF(ISNUMBER(SEARCH('Карта учёта'!$B$23,Расходка[[#This Row],[Наименование расходного материала]])),MAX($O$1:O34)+1,0)</f>
        <v>34</v>
      </c>
      <c r="P35" s="115">
        <f>IF(ISNUMBER(SEARCH('Карта учёта'!$B$24,Расходка[[#This Row],[Наименование расходного материала]])),MAX($P$1:P34)+1,0)</f>
        <v>34</v>
      </c>
      <c r="Q35" s="115">
        <f>IF(ISNUMBER(SEARCH('Карта учёта'!$B$25,Расходка[[#This Row],[Наименование расходного материала]])),MAX($Q$1:Q34)+1,0)</f>
        <v>34</v>
      </c>
      <c r="R35" s="114" t="str">
        <f>IFERROR(INDEX(Расходка[Наименование расходного материала],MATCH(Расходка[[#This Row],[№]],Поиск_расходки[Индекс1],0)),"")</f>
        <v/>
      </c>
      <c r="S35" s="114" t="str">
        <f>IFERROR(INDEX(Расходка[Наименование расходного материала],MATCH(Расходка[[#This Row],[№]],Поиск_расходки[Индекс2],0)),"")</f>
        <v/>
      </c>
      <c r="T35" s="114" t="str">
        <f>IFERROR(INDEX(Расходка[Наименование расходного материала],MATCH(Расходка[[#This Row],[№]],Поиск_расходки[Индекс3],0)),"")</f>
        <v/>
      </c>
      <c r="U35" s="114" t="str">
        <f>IFERROR(INDEX(Расходка[Наименование расходного материала],MATCH(Расходка[[#This Row],[№]],Поиск_расходки[Индекс4],0)),"")</f>
        <v/>
      </c>
      <c r="V35" s="114" t="str">
        <f>IFERROR(INDEX(Расходка[Наименование расходного материала],MATCH(Расходка[[#This Row],[№]],Поиск_расходки[Индекс5],0)),"")</f>
        <v/>
      </c>
      <c r="W35" s="114" t="str">
        <f>IFERROR(INDEX(Расходка[Наименование расходного материала],MATCH(Расходка[[#This Row],[№]],Поиск_расходки[Индекс6],0)),"")</f>
        <v>Intuition</v>
      </c>
      <c r="X35" s="114" t="str">
        <f>IFERROR(INDEX(Расходка[Наименование расходного материала],MATCH(Расходка[[#This Row],[№]],Поиск_расходки[Индекс7],0)),"")</f>
        <v/>
      </c>
      <c r="Y35" s="114" t="str">
        <f>IFERROR(INDEX(Расходка[Наименование расходного материала],MATCH(Расходка[[#This Row],[№]],Поиск_расходки[Индекс8],0)),"")</f>
        <v>Intuition</v>
      </c>
      <c r="Z35" s="114" t="str">
        <f>IFERROR(INDEX(Расходка[Наименование расходного материала],MATCH(Расходка[[#This Row],[№]],Поиск_расходки[Индекс9],0)),"")</f>
        <v>Intuition</v>
      </c>
      <c r="AA35" s="114" t="str">
        <f>IFERROR(INDEX(Расходка[Наименование расходного материала],MATCH(Расходка[[#This Row],[№]],Поиск_расходки[Индекс10],0)),"")</f>
        <v>Intuition</v>
      </c>
      <c r="AB35" s="114" t="str">
        <f>IFERROR(INDEX(Расходка[Наименование расходного материала],MATCH(Расходка[[#This Row],[№]],Поиск_расходки[Индекс11],0)),"")</f>
        <v>Intuition</v>
      </c>
      <c r="AC35" s="114" t="str">
        <f>IFERROR(INDEX(Расходка[Наименование расходного материала],MATCH(Расходка[[#This Row],[№]],Поиск_расходки[Индекс12],0)),"")</f>
        <v>Intuition</v>
      </c>
      <c r="AD35" s="114" t="str">
        <f>IFERROR(INDEX(Расходка[Наименование расходного материала],MATCH(Расходка[[#This Row],[№]],Поиск_расходки[Индекс13],0)),"")</f>
        <v>Intuition</v>
      </c>
      <c r="AF35" s="4" t="s">
        <v>5</v>
      </c>
      <c r="AG35" s="4" t="s">
        <v>487</v>
      </c>
    </row>
    <row r="36" spans="1:33">
      <c r="A36">
        <f>ROW(Расходка[[#This Row],[Тип расходного материала ]])-1</f>
        <v>35</v>
      </c>
      <c r="B36" t="s">
        <v>3</v>
      </c>
      <c r="C36" t="s">
        <v>316</v>
      </c>
      <c r="E36" s="115">
        <f>IF(ISNUMBER(SEARCH('Карта учёта'!$B$13,Расходка[[#This Row],[Наименование расходного материала]])),MAX($E$1:E35)+1,0)</f>
        <v>0</v>
      </c>
      <c r="F36" s="115">
        <f>IF(ISNUMBER(SEARCH('Карта учёта'!$B$14,Расходка[[#This Row],[Наименование расходного материала]])),MAX($F$1:F35)+1,0)</f>
        <v>0</v>
      </c>
      <c r="G36" s="115">
        <f>IF(ISNUMBER(SEARCH('Карта учёта'!$B$15,Расходка[[#This Row],[Наименование расходного материала]])),MAX($G$1:G35)+1,0)</f>
        <v>0</v>
      </c>
      <c r="H36" s="115">
        <f>IF(ISNUMBER(SEARCH('Карта учёта'!#REF!,Расходка[[#This Row],[Наименование расходного материала]])),MAX($H$1:H35)+1,0)</f>
        <v>0</v>
      </c>
      <c r="I36" s="115">
        <f>IF(ISNUMBER(SEARCH('Карта учёта'!$B$17,Расходка[[#This Row],[Наименование расходного материала]])),MAX($I$1:I35)+1,0)</f>
        <v>0</v>
      </c>
      <c r="J36" s="115">
        <f>IF(ISNUMBER(SEARCH('Карта учёта'!$B$18,Расходка[[#This Row],[Наименование расходного материала]])),MAX($J$1:J35)+1,0)</f>
        <v>35</v>
      </c>
      <c r="K36" s="115">
        <f>IF(ISNUMBER(SEARCH('Карта учёта'!$B$16,Расходка[[#This Row],[Наименование расходного материала]])),MAX($K$1:K35)+1,0)</f>
        <v>0</v>
      </c>
      <c r="L36" s="115">
        <f>IF(ISNUMBER(SEARCH('Карта учёта'!$B$20,Расходка[[#This Row],[Наименование расходного материала]])),MAX($L$1:L35)+1,0)</f>
        <v>35</v>
      </c>
      <c r="M36" s="115">
        <f>IF(ISNUMBER(SEARCH('Карта учёта'!$B$21,Расходка[[#This Row],[Наименование расходного материала]])),MAX($M$1:M35)+1,0)</f>
        <v>35</v>
      </c>
      <c r="N36" s="115">
        <f>IF(ISNUMBER(SEARCH('Карта учёта'!$B$22,Расходка[[#This Row],[Наименование расходного материала]])),MAX($N$1:N35)+1,0)</f>
        <v>35</v>
      </c>
      <c r="O36" s="115">
        <f>IF(ISNUMBER(SEARCH('Карта учёта'!$B$23,Расходка[[#This Row],[Наименование расходного материала]])),MAX($O$1:O35)+1,0)</f>
        <v>35</v>
      </c>
      <c r="P36" s="115">
        <f>IF(ISNUMBER(SEARCH('Карта учёта'!$B$24,Расходка[[#This Row],[Наименование расходного материала]])),MAX($P$1:P35)+1,0)</f>
        <v>35</v>
      </c>
      <c r="Q36" s="115">
        <f>IF(ISNUMBER(SEARCH('Карта учёта'!$B$25,Расходка[[#This Row],[Наименование расходного материала]])),MAX($Q$1:Q35)+1,0)</f>
        <v>35</v>
      </c>
      <c r="R36" s="114" t="str">
        <f>IFERROR(INDEX(Расходка[Наименование расходного материала],MATCH(Расходка[[#This Row],[№]],Поиск_расходки[Индекс1],0)),"")</f>
        <v/>
      </c>
      <c r="S36" s="114" t="str">
        <f>IFERROR(INDEX(Расходка[Наименование расходного материала],MATCH(Расходка[[#This Row],[№]],Поиск_расходки[Индекс2],0)),"")</f>
        <v/>
      </c>
      <c r="T36" s="114" t="str">
        <f>IFERROR(INDEX(Расходка[Наименование расходного материала],MATCH(Расходка[[#This Row],[№]],Поиск_расходки[Индекс3],0)),"")</f>
        <v/>
      </c>
      <c r="U36" s="114" t="str">
        <f>IFERROR(INDEX(Расходка[Наименование расходного материала],MATCH(Расходка[[#This Row],[№]],Поиск_расходки[Индекс4],0)),"")</f>
        <v/>
      </c>
      <c r="V36" s="114" t="str">
        <f>IFERROR(INDEX(Расходка[Наименование расходного материала],MATCH(Расходка[[#This Row],[№]],Поиск_расходки[Индекс5],0)),"")</f>
        <v/>
      </c>
      <c r="W36" s="114" t="str">
        <f>IFERROR(INDEX(Расходка[Наименование расходного материала],MATCH(Расходка[[#This Row],[№]],Поиск_расходки[Индекс6],0)),"")</f>
        <v>ProVia 3 Hydro-Track®</v>
      </c>
      <c r="X36" s="114" t="str">
        <f>IFERROR(INDEX(Расходка[Наименование расходного материала],MATCH(Расходка[[#This Row],[№]],Поиск_расходки[Индекс7],0)),"")</f>
        <v/>
      </c>
      <c r="Y36" s="114" t="str">
        <f>IFERROR(INDEX(Расходка[Наименование расходного материала],MATCH(Расходка[[#This Row],[№]],Поиск_расходки[Индекс8],0)),"")</f>
        <v>ProVia 3 Hydro-Track®</v>
      </c>
      <c r="Z36" s="114" t="str">
        <f>IFERROR(INDEX(Расходка[Наименование расходного материала],MATCH(Расходка[[#This Row],[№]],Поиск_расходки[Индекс9],0)),"")</f>
        <v>ProVia 3 Hydro-Track®</v>
      </c>
      <c r="AA36" s="114" t="str">
        <f>IFERROR(INDEX(Расходка[Наименование расходного материала],MATCH(Расходка[[#This Row],[№]],Поиск_расходки[Индекс10],0)),"")</f>
        <v>ProVia 3 Hydro-Track®</v>
      </c>
      <c r="AB36" s="114" t="str">
        <f>IFERROR(INDEX(Расходка[Наименование расходного материала],MATCH(Расходка[[#This Row],[№]],Поиск_расходки[Индекс11],0)),"")</f>
        <v>ProVia 3 Hydro-Track®</v>
      </c>
      <c r="AC36" s="114" t="str">
        <f>IFERROR(INDEX(Расходка[Наименование расходного материала],MATCH(Расходка[[#This Row],[№]],Поиск_расходки[Индекс12],0)),"")</f>
        <v>ProVia 3 Hydro-Track®</v>
      </c>
      <c r="AD36" s="114" t="str">
        <f>IFERROR(INDEX(Расходка[Наименование расходного материала],MATCH(Расходка[[#This Row],[№]],Поиск_расходки[Индекс13],0)),"")</f>
        <v>ProVia 3 Hydro-Track®</v>
      </c>
      <c r="AF36" s="4" t="s">
        <v>5</v>
      </c>
      <c r="AG36" s="4" t="s">
        <v>429</v>
      </c>
    </row>
    <row r="37" spans="1:33">
      <c r="A37">
        <f>ROW(Расходка[[#This Row],[Тип расходного материала ]])-1</f>
        <v>36</v>
      </c>
      <c r="B37" t="s">
        <v>3</v>
      </c>
      <c r="C37" t="s">
        <v>317</v>
      </c>
      <c r="E37" s="115">
        <f>IF(ISNUMBER(SEARCH('Карта учёта'!$B$13,Расходка[[#This Row],[Наименование расходного материала]])),MAX($E$1:E36)+1,0)</f>
        <v>0</v>
      </c>
      <c r="F37" s="115">
        <f>IF(ISNUMBER(SEARCH('Карта учёта'!$B$14,Расходка[[#This Row],[Наименование расходного материала]])),MAX($F$1:F36)+1,0)</f>
        <v>0</v>
      </c>
      <c r="G37" s="115">
        <f>IF(ISNUMBER(SEARCH('Карта учёта'!$B$15,Расходка[[#This Row],[Наименование расходного материала]])),MAX($G$1:G36)+1,0)</f>
        <v>0</v>
      </c>
      <c r="H37" s="115">
        <f>IF(ISNUMBER(SEARCH('Карта учёта'!#REF!,Расходка[[#This Row],[Наименование расходного материала]])),MAX($H$1:H36)+1,0)</f>
        <v>0</v>
      </c>
      <c r="I37" s="115">
        <f>IF(ISNUMBER(SEARCH('Карта учёта'!$B$17,Расходка[[#This Row],[Наименование расходного материала]])),MAX($I$1:I36)+1,0)</f>
        <v>0</v>
      </c>
      <c r="J37" s="115">
        <f>IF(ISNUMBER(SEARCH('Карта учёта'!$B$18,Расходка[[#This Row],[Наименование расходного материала]])),MAX($J$1:J36)+1,0)</f>
        <v>36</v>
      </c>
      <c r="K37" s="115">
        <f>IF(ISNUMBER(SEARCH('Карта учёта'!$B$16,Расходка[[#This Row],[Наименование расходного материала]])),MAX($K$1:K36)+1,0)</f>
        <v>0</v>
      </c>
      <c r="L37" s="115">
        <f>IF(ISNUMBER(SEARCH('Карта учёта'!$B$20,Расходка[[#This Row],[Наименование расходного материала]])),MAX($L$1:L36)+1,0)</f>
        <v>36</v>
      </c>
      <c r="M37" s="115">
        <f>IF(ISNUMBER(SEARCH('Карта учёта'!$B$21,Расходка[[#This Row],[Наименование расходного материала]])),MAX($M$1:M36)+1,0)</f>
        <v>36</v>
      </c>
      <c r="N37" s="115">
        <f>IF(ISNUMBER(SEARCH('Карта учёта'!$B$22,Расходка[[#This Row],[Наименование расходного материала]])),MAX($N$1:N36)+1,0)</f>
        <v>36</v>
      </c>
      <c r="O37" s="115">
        <f>IF(ISNUMBER(SEARCH('Карта учёта'!$B$23,Расходка[[#This Row],[Наименование расходного материала]])),MAX($O$1:O36)+1,0)</f>
        <v>36</v>
      </c>
      <c r="P37" s="115">
        <f>IF(ISNUMBER(SEARCH('Карта учёта'!$B$24,Расходка[[#This Row],[Наименование расходного материала]])),MAX($P$1:P36)+1,0)</f>
        <v>36</v>
      </c>
      <c r="Q37" s="115">
        <f>IF(ISNUMBER(SEARCH('Карта учёта'!$B$25,Расходка[[#This Row],[Наименование расходного материала]])),MAX($Q$1:Q36)+1,0)</f>
        <v>36</v>
      </c>
      <c r="R37" s="114" t="str">
        <f>IFERROR(INDEX(Расходка[Наименование расходного материала],MATCH(Расходка[[#This Row],[№]],Поиск_расходки[Индекс1],0)),"")</f>
        <v/>
      </c>
      <c r="S37" s="114" t="str">
        <f>IFERROR(INDEX(Расходка[Наименование расходного материала],MATCH(Расходка[[#This Row],[№]],Поиск_расходки[Индекс2],0)),"")</f>
        <v/>
      </c>
      <c r="T37" s="114" t="str">
        <f>IFERROR(INDEX(Расходка[Наименование расходного материала],MATCH(Расходка[[#This Row],[№]],Поиск_расходки[Индекс3],0)),"")</f>
        <v/>
      </c>
      <c r="U37" s="114" t="str">
        <f>IFERROR(INDEX(Расходка[Наименование расходного материала],MATCH(Расходка[[#This Row],[№]],Поиск_расходки[Индекс4],0)),"")</f>
        <v/>
      </c>
      <c r="V37" s="114" t="str">
        <f>IFERROR(INDEX(Расходка[Наименование расходного материала],MATCH(Расходка[[#This Row],[№]],Поиск_расходки[Индекс5],0)),"")</f>
        <v/>
      </c>
      <c r="W37" s="114" t="str">
        <f>IFERROR(INDEX(Расходка[Наименование расходного материала],MATCH(Расходка[[#This Row],[№]],Поиск_расходки[Индекс6],0)),"")</f>
        <v>ProVia 6 Hydro-Track®</v>
      </c>
      <c r="X37" s="114" t="str">
        <f>IFERROR(INDEX(Расходка[Наименование расходного материала],MATCH(Расходка[[#This Row],[№]],Поиск_расходки[Индекс7],0)),"")</f>
        <v/>
      </c>
      <c r="Y37" s="114" t="str">
        <f>IFERROR(INDEX(Расходка[Наименование расходного материала],MATCH(Расходка[[#This Row],[№]],Поиск_расходки[Индекс8],0)),"")</f>
        <v>ProVia 6 Hydro-Track®</v>
      </c>
      <c r="Z37" s="114" t="str">
        <f>IFERROR(INDEX(Расходка[Наименование расходного материала],MATCH(Расходка[[#This Row],[№]],Поиск_расходки[Индекс9],0)),"")</f>
        <v>ProVia 6 Hydro-Track®</v>
      </c>
      <c r="AA37" s="114" t="str">
        <f>IFERROR(INDEX(Расходка[Наименование расходного материала],MATCH(Расходка[[#This Row],[№]],Поиск_расходки[Индекс10],0)),"")</f>
        <v>ProVia 6 Hydro-Track®</v>
      </c>
      <c r="AB37" s="114" t="str">
        <f>IFERROR(INDEX(Расходка[Наименование расходного материала],MATCH(Расходка[[#This Row],[№]],Поиск_расходки[Индекс11],0)),"")</f>
        <v>ProVia 6 Hydro-Track®</v>
      </c>
      <c r="AC37" s="114" t="str">
        <f>IFERROR(INDEX(Расходка[Наименование расходного материала],MATCH(Расходка[[#This Row],[№]],Поиск_расходки[Индекс12],0)),"")</f>
        <v>ProVia 6 Hydro-Track®</v>
      </c>
      <c r="AD37" s="114" t="str">
        <f>IFERROR(INDEX(Расходка[Наименование расходного материала],MATCH(Расходка[[#This Row],[№]],Поиск_расходки[Индекс13],0)),"")</f>
        <v>ProVia 6 Hydro-Track®</v>
      </c>
      <c r="AF37" s="4" t="s">
        <v>6</v>
      </c>
      <c r="AG37" s="4" t="s">
        <v>402</v>
      </c>
    </row>
    <row r="38" spans="1:33">
      <c r="A38">
        <f>ROW(Расходка[[#This Row],[Тип расходного материала ]])-1</f>
        <v>37</v>
      </c>
      <c r="B38" t="s">
        <v>3</v>
      </c>
      <c r="C38" t="s">
        <v>318</v>
      </c>
      <c r="E38" s="115">
        <f>IF(ISNUMBER(SEARCH('Карта учёта'!$B$13,Расходка[[#This Row],[Наименование расходного материала]])),MAX($E$1:E37)+1,0)</f>
        <v>0</v>
      </c>
      <c r="F38" s="115">
        <f>IF(ISNUMBER(SEARCH('Карта учёта'!$B$14,Расходка[[#This Row],[Наименование расходного материала]])),MAX($F$1:F37)+1,0)</f>
        <v>0</v>
      </c>
      <c r="G38" s="115">
        <f>IF(ISNUMBER(SEARCH('Карта учёта'!$B$15,Расходка[[#This Row],[Наименование расходного материала]])),MAX($G$1:G37)+1,0)</f>
        <v>0</v>
      </c>
      <c r="H38" s="115">
        <f>IF(ISNUMBER(SEARCH('Карта учёта'!#REF!,Расходка[[#This Row],[Наименование расходного материала]])),MAX($H$1:H37)+1,0)</f>
        <v>0</v>
      </c>
      <c r="I38" s="115">
        <f>IF(ISNUMBER(SEARCH('Карта учёта'!$B$17,Расходка[[#This Row],[Наименование расходного материала]])),MAX($I$1:I37)+1,0)</f>
        <v>0</v>
      </c>
      <c r="J38" s="115">
        <f>IF(ISNUMBER(SEARCH('Карта учёта'!$B$18,Расходка[[#This Row],[Наименование расходного материала]])),MAX($J$1:J37)+1,0)</f>
        <v>37</v>
      </c>
      <c r="K38" s="115">
        <f>IF(ISNUMBER(SEARCH('Карта учёта'!$B$16,Расходка[[#This Row],[Наименование расходного материала]])),MAX($K$1:K37)+1,0)</f>
        <v>0</v>
      </c>
      <c r="L38" s="115">
        <f>IF(ISNUMBER(SEARCH('Карта учёта'!$B$20,Расходка[[#This Row],[Наименование расходного материала]])),MAX($L$1:L37)+1,0)</f>
        <v>37</v>
      </c>
      <c r="M38" s="115">
        <f>IF(ISNUMBER(SEARCH('Карта учёта'!$B$21,Расходка[[#This Row],[Наименование расходного материала]])),MAX($M$1:M37)+1,0)</f>
        <v>37</v>
      </c>
      <c r="N38" s="115">
        <f>IF(ISNUMBER(SEARCH('Карта учёта'!$B$22,Расходка[[#This Row],[Наименование расходного материала]])),MAX($N$1:N37)+1,0)</f>
        <v>37</v>
      </c>
      <c r="O38" s="115">
        <f>IF(ISNUMBER(SEARCH('Карта учёта'!$B$23,Расходка[[#This Row],[Наименование расходного материала]])),MAX($O$1:O37)+1,0)</f>
        <v>37</v>
      </c>
      <c r="P38" s="115">
        <f>IF(ISNUMBER(SEARCH('Карта учёта'!$B$24,Расходка[[#This Row],[Наименование расходного материала]])),MAX($P$1:P37)+1,0)</f>
        <v>37</v>
      </c>
      <c r="Q38" s="115">
        <f>IF(ISNUMBER(SEARCH('Карта учёта'!$B$25,Расходка[[#This Row],[Наименование расходного материала]])),MAX($Q$1:Q37)+1,0)</f>
        <v>37</v>
      </c>
      <c r="R38" s="114" t="str">
        <f>IFERROR(INDEX(Расходка[Наименование расходного материала],MATCH(Расходка[[#This Row],[№]],Поиск_расходки[Индекс1],0)),"")</f>
        <v/>
      </c>
      <c r="S38" s="114" t="str">
        <f>IFERROR(INDEX(Расходка[Наименование расходного материала],MATCH(Расходка[[#This Row],[№]],Поиск_расходки[Индекс2],0)),"")</f>
        <v/>
      </c>
      <c r="T38" s="114" t="str">
        <f>IFERROR(INDEX(Расходка[Наименование расходного материала],MATCH(Расходка[[#This Row],[№]],Поиск_расходки[Индекс3],0)),"")</f>
        <v/>
      </c>
      <c r="U38" s="114" t="str">
        <f>IFERROR(INDEX(Расходка[Наименование расходного материала],MATCH(Расходка[[#This Row],[№]],Поиск_расходки[Индекс4],0)),"")</f>
        <v/>
      </c>
      <c r="V38" s="114" t="str">
        <f>IFERROR(INDEX(Расходка[Наименование расходного материала],MATCH(Расходка[[#This Row],[№]],Поиск_расходки[Индекс5],0)),"")</f>
        <v/>
      </c>
      <c r="W38" s="114" t="str">
        <f>IFERROR(INDEX(Расходка[Наименование расходного материала],MATCH(Расходка[[#This Row],[№]],Поиск_расходки[Индекс6],0)),"")</f>
        <v>ProVia 9 Hydro-Track®</v>
      </c>
      <c r="X38" s="114" t="str">
        <f>IFERROR(INDEX(Расходка[Наименование расходного материала],MATCH(Расходка[[#This Row],[№]],Поиск_расходки[Индекс7],0)),"")</f>
        <v/>
      </c>
      <c r="Y38" s="114" t="str">
        <f>IFERROR(INDEX(Расходка[Наименование расходного материала],MATCH(Расходка[[#This Row],[№]],Поиск_расходки[Индекс8],0)),"")</f>
        <v>ProVia 9 Hydro-Track®</v>
      </c>
      <c r="Z38" s="114" t="str">
        <f>IFERROR(INDEX(Расходка[Наименование расходного материала],MATCH(Расходка[[#This Row],[№]],Поиск_расходки[Индекс9],0)),"")</f>
        <v>ProVia 9 Hydro-Track®</v>
      </c>
      <c r="AA38" s="114" t="str">
        <f>IFERROR(INDEX(Расходка[Наименование расходного материала],MATCH(Расходка[[#This Row],[№]],Поиск_расходки[Индекс10],0)),"")</f>
        <v>ProVia 9 Hydro-Track®</v>
      </c>
      <c r="AB38" s="114" t="str">
        <f>IFERROR(INDEX(Расходка[Наименование расходного материала],MATCH(Расходка[[#This Row],[№]],Поиск_расходки[Индекс11],0)),"")</f>
        <v>ProVia 9 Hydro-Track®</v>
      </c>
      <c r="AC38" s="114" t="str">
        <f>IFERROR(INDEX(Расходка[Наименование расходного материала],MATCH(Расходка[[#This Row],[№]],Поиск_расходки[Индекс12],0)),"")</f>
        <v>ProVia 9 Hydro-Track®</v>
      </c>
      <c r="AD38" s="114" t="str">
        <f>IFERROR(INDEX(Расходка[Наименование расходного материала],MATCH(Расходка[[#This Row],[№]],Поиск_расходки[Индекс13],0)),"")</f>
        <v>ProVia 9 Hydro-Track®</v>
      </c>
      <c r="AF38" s="4" t="s">
        <v>6</v>
      </c>
      <c r="AG38" s="4" t="s">
        <v>489</v>
      </c>
    </row>
    <row r="39" spans="1:33">
      <c r="A39">
        <f>ROW(Расходка[[#This Row],[Тип расходного материала ]])-1</f>
        <v>38</v>
      </c>
      <c r="B39" t="s">
        <v>3</v>
      </c>
      <c r="C39" t="s">
        <v>314</v>
      </c>
      <c r="E39" s="115">
        <f>IF(ISNUMBER(SEARCH('Карта учёта'!$B$13,Расходка[[#This Row],[Наименование расходного материала]])),MAX($E$1:E38)+1,0)</f>
        <v>0</v>
      </c>
      <c r="F39" s="115">
        <f>IF(ISNUMBER(SEARCH('Карта учёта'!$B$14,Расходка[[#This Row],[Наименование расходного материала]])),MAX($F$1:F38)+1,0)</f>
        <v>0</v>
      </c>
      <c r="G39" s="115">
        <f>IF(ISNUMBER(SEARCH('Карта учёта'!$B$15,Расходка[[#This Row],[Наименование расходного материала]])),MAX($G$1:G38)+1,0)</f>
        <v>0</v>
      </c>
      <c r="H39" s="115">
        <f>IF(ISNUMBER(SEARCH('Карта учёта'!#REF!,Расходка[[#This Row],[Наименование расходного материала]])),MAX($H$1:H38)+1,0)</f>
        <v>0</v>
      </c>
      <c r="I39" s="115">
        <f>IF(ISNUMBER(SEARCH('Карта учёта'!$B$17,Расходка[[#This Row],[Наименование расходного материала]])),MAX($I$1:I38)+1,0)</f>
        <v>0</v>
      </c>
      <c r="J39" s="115">
        <f>IF(ISNUMBER(SEARCH('Карта учёта'!$B$18,Расходка[[#This Row],[Наименование расходного материала]])),MAX($J$1:J38)+1,0)</f>
        <v>38</v>
      </c>
      <c r="K39" s="115">
        <f>IF(ISNUMBER(SEARCH('Карта учёта'!$B$16,Расходка[[#This Row],[Наименование расходного материала]])),MAX($K$1:K38)+1,0)</f>
        <v>0</v>
      </c>
      <c r="L39" s="115">
        <f>IF(ISNUMBER(SEARCH('Карта учёта'!$B$20,Расходка[[#This Row],[Наименование расходного материала]])),MAX($L$1:L38)+1,0)</f>
        <v>38</v>
      </c>
      <c r="M39" s="115">
        <f>IF(ISNUMBER(SEARCH('Карта учёта'!$B$21,Расходка[[#This Row],[Наименование расходного материала]])),MAX($M$1:M38)+1,0)</f>
        <v>38</v>
      </c>
      <c r="N39" s="115">
        <f>IF(ISNUMBER(SEARCH('Карта учёта'!$B$22,Расходка[[#This Row],[Наименование расходного материала]])),MAX($N$1:N38)+1,0)</f>
        <v>38</v>
      </c>
      <c r="O39" s="115">
        <f>IF(ISNUMBER(SEARCH('Карта учёта'!$B$23,Расходка[[#This Row],[Наименование расходного материала]])),MAX($O$1:O38)+1,0)</f>
        <v>38</v>
      </c>
      <c r="P39" s="115">
        <f>IF(ISNUMBER(SEARCH('Карта учёта'!$B$24,Расходка[[#This Row],[Наименование расходного материала]])),MAX($P$1:P38)+1,0)</f>
        <v>38</v>
      </c>
      <c r="Q39" s="115">
        <f>IF(ISNUMBER(SEARCH('Карта учёта'!$B$25,Расходка[[#This Row],[Наименование расходного материала]])),MAX($Q$1:Q38)+1,0)</f>
        <v>38</v>
      </c>
      <c r="R39" s="114" t="str">
        <f>IFERROR(INDEX(Расходка[Наименование расходного материала],MATCH(Расходка[[#This Row],[№]],Поиск_расходки[Индекс1],0)),"")</f>
        <v/>
      </c>
      <c r="S39" s="114" t="str">
        <f>IFERROR(INDEX(Расходка[Наименование расходного материала],MATCH(Расходка[[#This Row],[№]],Поиск_расходки[Индекс2],0)),"")</f>
        <v/>
      </c>
      <c r="T39" s="114" t="str">
        <f>IFERROR(INDEX(Расходка[Наименование расходного материала],MATCH(Расходка[[#This Row],[№]],Поиск_расходки[Индекс3],0)),"")</f>
        <v/>
      </c>
      <c r="U39" s="114" t="str">
        <f>IFERROR(INDEX(Расходка[Наименование расходного материала],MATCH(Расходка[[#This Row],[№]],Поиск_расходки[Индекс4],0)),"")</f>
        <v/>
      </c>
      <c r="V39" s="114" t="str">
        <f>IFERROR(INDEX(Расходка[Наименование расходного материала],MATCH(Расходка[[#This Row],[№]],Поиск_расходки[Индекс5],0)),"")</f>
        <v/>
      </c>
      <c r="W39" s="114" t="str">
        <f>IFERROR(INDEX(Расходка[Наименование расходного материала],MATCH(Расходка[[#This Row],[№]],Поиск_расходки[Индекс6],0)),"")</f>
        <v>Rinato</v>
      </c>
      <c r="X39" s="114" t="str">
        <f>IFERROR(INDEX(Расходка[Наименование расходного материала],MATCH(Расходка[[#This Row],[№]],Поиск_расходки[Индекс7],0)),"")</f>
        <v/>
      </c>
      <c r="Y39" s="114" t="str">
        <f>IFERROR(INDEX(Расходка[Наименование расходного материала],MATCH(Расходка[[#This Row],[№]],Поиск_расходки[Индекс8],0)),"")</f>
        <v>Rinato</v>
      </c>
      <c r="Z39" s="114" t="str">
        <f>IFERROR(INDEX(Расходка[Наименование расходного материала],MATCH(Расходка[[#This Row],[№]],Поиск_расходки[Индекс9],0)),"")</f>
        <v>Rinato</v>
      </c>
      <c r="AA39" s="114" t="str">
        <f>IFERROR(INDEX(Расходка[Наименование расходного материала],MATCH(Расходка[[#This Row],[№]],Поиск_расходки[Индекс10],0)),"")</f>
        <v>Rinato</v>
      </c>
      <c r="AB39" s="114" t="str">
        <f>IFERROR(INDEX(Расходка[Наименование расходного материала],MATCH(Расходка[[#This Row],[№]],Поиск_расходки[Индекс11],0)),"")</f>
        <v>Rinato</v>
      </c>
      <c r="AC39" s="114" t="str">
        <f>IFERROR(INDEX(Расходка[Наименование расходного материала],MATCH(Расходка[[#This Row],[№]],Поиск_расходки[Индекс12],0)),"")</f>
        <v>Rinato</v>
      </c>
      <c r="AD39" s="114" t="str">
        <f>IFERROR(INDEX(Расходка[Наименование расходного материала],MATCH(Расходка[[#This Row],[№]],Поиск_расходки[Индекс13],0)),"")</f>
        <v>Rinato</v>
      </c>
      <c r="AF39" s="4" t="s">
        <v>6</v>
      </c>
      <c r="AG39" s="4" t="s">
        <v>430</v>
      </c>
    </row>
    <row r="40" spans="1:33">
      <c r="A40">
        <f>ROW(Расходка[[#This Row],[Тип расходного материала ]])-1</f>
        <v>39</v>
      </c>
      <c r="B40" t="s">
        <v>3</v>
      </c>
      <c r="C40" s="1" t="s">
        <v>351</v>
      </c>
      <c r="E40" s="115">
        <f>IF(ISNUMBER(SEARCH('Карта учёта'!$B$13,Расходка[[#This Row],[Наименование расходного материала]])),MAX($E$1:E39)+1,0)</f>
        <v>0</v>
      </c>
      <c r="F40" s="115">
        <f>IF(ISNUMBER(SEARCH('Карта учёта'!$B$14,Расходка[[#This Row],[Наименование расходного материала]])),MAX($F$1:F39)+1,0)</f>
        <v>0</v>
      </c>
      <c r="G40" s="115">
        <f>IF(ISNUMBER(SEARCH('Карта учёта'!$B$15,Расходка[[#This Row],[Наименование расходного материала]])),MAX($G$1:G39)+1,0)</f>
        <v>0</v>
      </c>
      <c r="H40" s="115">
        <f>IF(ISNUMBER(SEARCH('Карта учёта'!#REF!,Расходка[[#This Row],[Наименование расходного материала]])),MAX($H$1:H39)+1,0)</f>
        <v>0</v>
      </c>
      <c r="I40" s="115">
        <f>IF(ISNUMBER(SEARCH('Карта учёта'!$B$17,Расходка[[#This Row],[Наименование расходного материала]])),MAX($I$1:I39)+1,0)</f>
        <v>0</v>
      </c>
      <c r="J40" s="115">
        <f>IF(ISNUMBER(SEARCH('Карта учёта'!$B$18,Расходка[[#This Row],[Наименование расходного материала]])),MAX($J$1:J39)+1,0)</f>
        <v>39</v>
      </c>
      <c r="K40" s="115">
        <f>IF(ISNUMBER(SEARCH('Карта учёта'!$B$16,Расходка[[#This Row],[Наименование расходного материала]])),MAX($K$1:K39)+1,0)</f>
        <v>0</v>
      </c>
      <c r="L40" s="115">
        <f>IF(ISNUMBER(SEARCH('Карта учёта'!$B$20,Расходка[[#This Row],[Наименование расходного материала]])),MAX($L$1:L39)+1,0)</f>
        <v>39</v>
      </c>
      <c r="M40" s="115">
        <f>IF(ISNUMBER(SEARCH('Карта учёта'!$B$21,Расходка[[#This Row],[Наименование расходного материала]])),MAX($M$1:M39)+1,0)</f>
        <v>39</v>
      </c>
      <c r="N40" s="115">
        <f>IF(ISNUMBER(SEARCH('Карта учёта'!$B$22,Расходка[[#This Row],[Наименование расходного материала]])),MAX($N$1:N39)+1,0)</f>
        <v>39</v>
      </c>
      <c r="O40" s="115">
        <f>IF(ISNUMBER(SEARCH('Карта учёта'!$B$23,Расходка[[#This Row],[Наименование расходного материала]])),MAX($O$1:O39)+1,0)</f>
        <v>39</v>
      </c>
      <c r="P40" s="115">
        <f>IF(ISNUMBER(SEARCH('Карта учёта'!$B$24,Расходка[[#This Row],[Наименование расходного материала]])),MAX($P$1:P39)+1,0)</f>
        <v>39</v>
      </c>
      <c r="Q40" s="115">
        <f>IF(ISNUMBER(SEARCH('Карта учёта'!$B$25,Расходка[[#This Row],[Наименование расходного материала]])),MAX($Q$1:Q39)+1,0)</f>
        <v>39</v>
      </c>
      <c r="R40" s="114" t="str">
        <f>IFERROR(INDEX(Расходка[Наименование расходного материала],MATCH(Расходка[[#This Row],[№]],Поиск_расходки[Индекс1],0)),"")</f>
        <v/>
      </c>
      <c r="S40" s="114" t="str">
        <f>IFERROR(INDEX(Расходка[Наименование расходного материала],MATCH(Расходка[[#This Row],[№]],Поиск_расходки[Индекс2],0)),"")</f>
        <v/>
      </c>
      <c r="T40" s="114" t="str">
        <f>IFERROR(INDEX(Расходка[Наименование расходного материала],MATCH(Расходка[[#This Row],[№]],Поиск_расходки[Индекс3],0)),"")</f>
        <v/>
      </c>
      <c r="U40" s="114" t="str">
        <f>IFERROR(INDEX(Расходка[Наименование расходного материала],MATCH(Расходка[[#This Row],[№]],Поиск_расходки[Индекс4],0)),"")</f>
        <v/>
      </c>
      <c r="V40" s="114" t="str">
        <f>IFERROR(INDEX(Расходка[Наименование расходного материала],MATCH(Расходка[[#This Row],[№]],Поиск_расходки[Индекс5],0)),"")</f>
        <v/>
      </c>
      <c r="W40" s="114" t="str">
        <f>IFERROR(INDEX(Расходка[Наименование расходного материала],MATCH(Расходка[[#This Row],[№]],Поиск_расходки[Индекс6],0)),"")</f>
        <v>Runthrough NS (Floppy)</v>
      </c>
      <c r="X40" s="114" t="str">
        <f>IFERROR(INDEX(Расходка[Наименование расходного материала],MATCH(Расходка[[#This Row],[№]],Поиск_расходки[Индекс7],0)),"")</f>
        <v/>
      </c>
      <c r="Y40" s="114" t="str">
        <f>IFERROR(INDEX(Расходка[Наименование расходного материала],MATCH(Расходка[[#This Row],[№]],Поиск_расходки[Индекс8],0)),"")</f>
        <v>Runthrough NS (Floppy)</v>
      </c>
      <c r="Z40" s="114" t="str">
        <f>IFERROR(INDEX(Расходка[Наименование расходного материала],MATCH(Расходка[[#This Row],[№]],Поиск_расходки[Индекс9],0)),"")</f>
        <v>Runthrough NS (Floppy)</v>
      </c>
      <c r="AA40" s="114" t="str">
        <f>IFERROR(INDEX(Расходка[Наименование расходного материала],MATCH(Расходка[[#This Row],[№]],Поиск_расходки[Индекс10],0)),"")</f>
        <v>Runthrough NS (Floppy)</v>
      </c>
      <c r="AB40" s="114" t="str">
        <f>IFERROR(INDEX(Расходка[Наименование расходного материала],MATCH(Расходка[[#This Row],[№]],Поиск_расходки[Индекс11],0)),"")</f>
        <v>Runthrough NS (Floppy)</v>
      </c>
      <c r="AC40" s="114" t="str">
        <f>IFERROR(INDEX(Расходка[Наименование расходного материала],MATCH(Расходка[[#This Row],[№]],Поиск_расходки[Индекс12],0)),"")</f>
        <v>Runthrough NS (Floppy)</v>
      </c>
      <c r="AD40" s="114" t="str">
        <f>IFERROR(INDEX(Расходка[Наименование расходного материала],MATCH(Расходка[[#This Row],[№]],Поиск_расходки[Индекс13],0)),"")</f>
        <v>Runthrough NS (Floppy)</v>
      </c>
      <c r="AF40" s="4" t="s">
        <v>6</v>
      </c>
      <c r="AG40" s="4" t="s">
        <v>431</v>
      </c>
    </row>
    <row r="41" spans="1:33">
      <c r="A41">
        <f>ROW(Расходка[[#This Row],[Тип расходного материала ]])-1</f>
        <v>40</v>
      </c>
      <c r="B41" t="s">
        <v>3</v>
      </c>
      <c r="C41" s="1" t="s">
        <v>358</v>
      </c>
      <c r="E41" s="115">
        <f>IF(ISNUMBER(SEARCH('Карта учёта'!$B$13,Расходка[[#This Row],[Наименование расходного материала]])),MAX($E$1:E40)+1,0)</f>
        <v>0</v>
      </c>
      <c r="F41" s="115">
        <f>IF(ISNUMBER(SEARCH('Карта учёта'!$B$14,Расходка[[#This Row],[Наименование расходного материала]])),MAX($F$1:F40)+1,0)</f>
        <v>0</v>
      </c>
      <c r="G41" s="115">
        <f>IF(ISNUMBER(SEARCH('Карта учёта'!$B$15,Расходка[[#This Row],[Наименование расходного материала]])),MAX($G$1:G40)+1,0)</f>
        <v>0</v>
      </c>
      <c r="H41" s="115">
        <f>IF(ISNUMBER(SEARCH('Карта учёта'!#REF!,Расходка[[#This Row],[Наименование расходного материала]])),MAX($H$1:H40)+1,0)</f>
        <v>0</v>
      </c>
      <c r="I41" s="115">
        <f>IF(ISNUMBER(SEARCH('Карта учёта'!$B$17,Расходка[[#This Row],[Наименование расходного материала]])),MAX($I$1:I40)+1,0)</f>
        <v>0</v>
      </c>
      <c r="J41" s="115">
        <f>IF(ISNUMBER(SEARCH('Карта учёта'!$B$18,Расходка[[#This Row],[Наименование расходного материала]])),MAX($J$1:J40)+1,0)</f>
        <v>40</v>
      </c>
      <c r="K41" s="115">
        <f>IF(ISNUMBER(SEARCH('Карта учёта'!$B$16,Расходка[[#This Row],[Наименование расходного материала]])),MAX($K$1:K40)+1,0)</f>
        <v>0</v>
      </c>
      <c r="L41" s="115">
        <f>IF(ISNUMBER(SEARCH('Карта учёта'!$B$20,Расходка[[#This Row],[Наименование расходного материала]])),MAX($L$1:L40)+1,0)</f>
        <v>40</v>
      </c>
      <c r="M41" s="115">
        <f>IF(ISNUMBER(SEARCH('Карта учёта'!$B$21,Расходка[[#This Row],[Наименование расходного материала]])),MAX($M$1:M40)+1,0)</f>
        <v>40</v>
      </c>
      <c r="N41" s="115">
        <f>IF(ISNUMBER(SEARCH('Карта учёта'!$B$22,Расходка[[#This Row],[Наименование расходного материала]])),MAX($N$1:N40)+1,0)</f>
        <v>40</v>
      </c>
      <c r="O41" s="115">
        <f>IF(ISNUMBER(SEARCH('Карта учёта'!$B$23,Расходка[[#This Row],[Наименование расходного материала]])),MAX($O$1:O40)+1,0)</f>
        <v>40</v>
      </c>
      <c r="P41" s="115">
        <f>IF(ISNUMBER(SEARCH('Карта учёта'!$B$24,Расходка[[#This Row],[Наименование расходного материала]])),MAX($P$1:P40)+1,0)</f>
        <v>40</v>
      </c>
      <c r="Q41" s="115">
        <f>IF(ISNUMBER(SEARCH('Карта учёта'!$B$25,Расходка[[#This Row],[Наименование расходного материала]])),MAX($Q$1:Q40)+1,0)</f>
        <v>40</v>
      </c>
      <c r="R41" s="114" t="str">
        <f>IFERROR(INDEX(Расходка[Наименование расходного материала],MATCH(Расходка[[#This Row],[№]],Поиск_расходки[Индекс1],0)),"")</f>
        <v/>
      </c>
      <c r="S41" s="114" t="str">
        <f>IFERROR(INDEX(Расходка[Наименование расходного материала],MATCH(Расходка[[#This Row],[№]],Поиск_расходки[Индекс2],0)),"")</f>
        <v/>
      </c>
      <c r="T41" s="114" t="str">
        <f>IFERROR(INDEX(Расходка[Наименование расходного материала],MATCH(Расходка[[#This Row],[№]],Поиск_расходки[Индекс3],0)),"")</f>
        <v/>
      </c>
      <c r="U41" s="114" t="str">
        <f>IFERROR(INDEX(Расходка[Наименование расходного материала],MATCH(Расходка[[#This Row],[№]],Поиск_расходки[Индекс4],0)),"")</f>
        <v/>
      </c>
      <c r="V41" s="114" t="str">
        <f>IFERROR(INDEX(Расходка[Наименование расходного материала],MATCH(Расходка[[#This Row],[№]],Поиск_расходки[Индекс5],0)),"")</f>
        <v/>
      </c>
      <c r="W41" s="114" t="str">
        <f>IFERROR(INDEX(Расходка[Наименование расходного материала],MATCH(Расходка[[#This Row],[№]],Поиск_расходки[Индекс6],0)),"")</f>
        <v>Runthrough NS Hypercoat</v>
      </c>
      <c r="X41" s="114" t="str">
        <f>IFERROR(INDEX(Расходка[Наименование расходного материала],MATCH(Расходка[[#This Row],[№]],Поиск_расходки[Индекс7],0)),"")</f>
        <v/>
      </c>
      <c r="Y41" s="114" t="str">
        <f>IFERROR(INDEX(Расходка[Наименование расходного материала],MATCH(Расходка[[#This Row],[№]],Поиск_расходки[Индекс8],0)),"")</f>
        <v>Runthrough NS Hypercoat</v>
      </c>
      <c r="Z41" s="114" t="str">
        <f>IFERROR(INDEX(Расходка[Наименование расходного материала],MATCH(Расходка[[#This Row],[№]],Поиск_расходки[Индекс9],0)),"")</f>
        <v>Runthrough NS Hypercoat</v>
      </c>
      <c r="AA41" s="114" t="str">
        <f>IFERROR(INDEX(Расходка[Наименование расходного материала],MATCH(Расходка[[#This Row],[№]],Поиск_расходки[Индекс10],0)),"")</f>
        <v>Runthrough NS Hypercoat</v>
      </c>
      <c r="AB41" s="114" t="str">
        <f>IFERROR(INDEX(Расходка[Наименование расходного материала],MATCH(Расходка[[#This Row],[№]],Поиск_расходки[Индекс11],0)),"")</f>
        <v>Runthrough NS Hypercoat</v>
      </c>
      <c r="AC41" s="114" t="str">
        <f>IFERROR(INDEX(Расходка[Наименование расходного материала],MATCH(Расходка[[#This Row],[№]],Поиск_расходки[Индекс12],0)),"")</f>
        <v>Runthrough NS Hypercoat</v>
      </c>
      <c r="AD41" s="114" t="str">
        <f>IFERROR(INDEX(Расходка[Наименование расходного материала],MATCH(Расходка[[#This Row],[№]],Поиск_расходки[Индекс13],0)),"")</f>
        <v>Runthrough NS Hypercoat</v>
      </c>
      <c r="AF41" s="4" t="s">
        <v>6</v>
      </c>
      <c r="AG41" s="4" t="s">
        <v>432</v>
      </c>
    </row>
    <row r="42" spans="1:33">
      <c r="A42">
        <f>ROW(Расходка[[#This Row],[Тип расходного материала ]])-1</f>
        <v>41</v>
      </c>
      <c r="B42" t="s">
        <v>3</v>
      </c>
      <c r="C42" s="1" t="s">
        <v>357</v>
      </c>
      <c r="E42" s="115">
        <f>IF(ISNUMBER(SEARCH('Карта учёта'!$B$13,Расходка[[#This Row],[Наименование расходного материала]])),MAX($E$1:E41)+1,0)</f>
        <v>0</v>
      </c>
      <c r="F42" s="115">
        <f>IF(ISNUMBER(SEARCH('Карта учёта'!$B$14,Расходка[[#This Row],[Наименование расходного материала]])),MAX($F$1:F41)+1,0)</f>
        <v>0</v>
      </c>
      <c r="G42" s="115">
        <f>IF(ISNUMBER(SEARCH('Карта учёта'!$B$15,Расходка[[#This Row],[Наименование расходного материала]])),MAX($G$1:G41)+1,0)</f>
        <v>0</v>
      </c>
      <c r="H42" s="115">
        <f>IF(ISNUMBER(SEARCH('Карта учёта'!#REF!,Расходка[[#This Row],[Наименование расходного материала]])),MAX($H$1:H41)+1,0)</f>
        <v>0</v>
      </c>
      <c r="I42" s="115">
        <f>IF(ISNUMBER(SEARCH('Карта учёта'!$B$17,Расходка[[#This Row],[Наименование расходного материала]])),MAX($I$1:I41)+1,0)</f>
        <v>0</v>
      </c>
      <c r="J42" s="115">
        <f>IF(ISNUMBER(SEARCH('Карта учёта'!$B$18,Расходка[[#This Row],[Наименование расходного материала]])),MAX($J$1:J41)+1,0)</f>
        <v>41</v>
      </c>
      <c r="K42" s="115">
        <f>IF(ISNUMBER(SEARCH('Карта учёта'!$B$16,Расходка[[#This Row],[Наименование расходного материала]])),MAX($K$1:K41)+1,0)</f>
        <v>0</v>
      </c>
      <c r="L42" s="115">
        <f>IF(ISNUMBER(SEARCH('Карта учёта'!$B$20,Расходка[[#This Row],[Наименование расходного материала]])),MAX($L$1:L41)+1,0)</f>
        <v>41</v>
      </c>
      <c r="M42" s="115">
        <f>IF(ISNUMBER(SEARCH('Карта учёта'!$B$21,Расходка[[#This Row],[Наименование расходного материала]])),MAX($M$1:M41)+1,0)</f>
        <v>41</v>
      </c>
      <c r="N42" s="115">
        <f>IF(ISNUMBER(SEARCH('Карта учёта'!$B$22,Расходка[[#This Row],[Наименование расходного материала]])),MAX($N$1:N41)+1,0)</f>
        <v>41</v>
      </c>
      <c r="O42" s="115">
        <f>IF(ISNUMBER(SEARCH('Карта учёта'!$B$23,Расходка[[#This Row],[Наименование расходного материала]])),MAX($O$1:O41)+1,0)</f>
        <v>41</v>
      </c>
      <c r="P42" s="115">
        <f>IF(ISNUMBER(SEARCH('Карта учёта'!$B$24,Расходка[[#This Row],[Наименование расходного материала]])),MAX($P$1:P41)+1,0)</f>
        <v>41</v>
      </c>
      <c r="Q42" s="115">
        <f>IF(ISNUMBER(SEARCH('Карта учёта'!$B$25,Расходка[[#This Row],[Наименование расходного материала]])),MAX($Q$1:Q41)+1,0)</f>
        <v>41</v>
      </c>
      <c r="R42" s="114" t="str">
        <f>IFERROR(INDEX(Расходка[Наименование расходного материала],MATCH(Расходка[[#This Row],[№]],Поиск_расходки[Индекс1],0)),"")</f>
        <v/>
      </c>
      <c r="S42" s="114" t="str">
        <f>IFERROR(INDEX(Расходка[Наименование расходного материала],MATCH(Расходка[[#This Row],[№]],Поиск_расходки[Индекс2],0)),"")</f>
        <v/>
      </c>
      <c r="T42" s="114" t="str">
        <f>IFERROR(INDEX(Расходка[Наименование расходного материала],MATCH(Расходка[[#This Row],[№]],Поиск_расходки[Индекс3],0)),"")</f>
        <v/>
      </c>
      <c r="U42" s="114" t="str">
        <f>IFERROR(INDEX(Расходка[Наименование расходного материала],MATCH(Расходка[[#This Row],[№]],Поиск_расходки[Индекс4],0)),"")</f>
        <v/>
      </c>
      <c r="V42" s="114" t="str">
        <f>IFERROR(INDEX(Расходка[Наименование расходного материала],MATCH(Расходка[[#This Row],[№]],Поиск_расходки[Индекс5],0)),"")</f>
        <v/>
      </c>
      <c r="W42" s="114" t="str">
        <f>IFERROR(INDEX(Расходка[Наименование расходного материала],MATCH(Расходка[[#This Row],[№]],Поиск_расходки[Индекс6],0)),"")</f>
        <v>Runthrough NS Intermediate</v>
      </c>
      <c r="X42" s="114" t="str">
        <f>IFERROR(INDEX(Расходка[Наименование расходного материала],MATCH(Расходка[[#This Row],[№]],Поиск_расходки[Индекс7],0)),"")</f>
        <v/>
      </c>
      <c r="Y42" s="114" t="str">
        <f>IFERROR(INDEX(Расходка[Наименование расходного материала],MATCH(Расходка[[#This Row],[№]],Поиск_расходки[Индекс8],0)),"")</f>
        <v>Runthrough NS Intermediate</v>
      </c>
      <c r="Z42" s="114" t="str">
        <f>IFERROR(INDEX(Расходка[Наименование расходного материала],MATCH(Расходка[[#This Row],[№]],Поиск_расходки[Индекс9],0)),"")</f>
        <v>Runthrough NS Intermediate</v>
      </c>
      <c r="AA42" s="114" t="str">
        <f>IFERROR(INDEX(Расходка[Наименование расходного материала],MATCH(Расходка[[#This Row],[№]],Поиск_расходки[Индекс10],0)),"")</f>
        <v>Runthrough NS Intermediate</v>
      </c>
      <c r="AB42" s="114" t="str">
        <f>IFERROR(INDEX(Расходка[Наименование расходного материала],MATCH(Расходка[[#This Row],[№]],Поиск_расходки[Индекс11],0)),"")</f>
        <v>Runthrough NS Intermediate</v>
      </c>
      <c r="AC42" s="114" t="str">
        <f>IFERROR(INDEX(Расходка[Наименование расходного материала],MATCH(Расходка[[#This Row],[№]],Поиск_расходки[Индекс12],0)),"")</f>
        <v>Runthrough NS Intermediate</v>
      </c>
      <c r="AD42" s="114" t="str">
        <f>IFERROR(INDEX(Расходка[Наименование расходного материала],MATCH(Расходка[[#This Row],[№]],Поиск_расходки[Индекс13],0)),"")</f>
        <v>Runthrough NS Intermediate</v>
      </c>
      <c r="AF42" s="4" t="s">
        <v>6</v>
      </c>
      <c r="AG42" s="4" t="s">
        <v>433</v>
      </c>
    </row>
    <row r="43" spans="1:33">
      <c r="A43">
        <f>ROW(Расходка[[#This Row],[Тип расходного материала ]])-1</f>
        <v>42</v>
      </c>
      <c r="B43" t="s">
        <v>3</v>
      </c>
      <c r="C43" t="s">
        <v>313</v>
      </c>
      <c r="E43" s="115">
        <f>IF(ISNUMBER(SEARCH('Карта учёта'!$B$13,Расходка[[#This Row],[Наименование расходного материала]])),MAX($E$1:E42)+1,0)</f>
        <v>0</v>
      </c>
      <c r="F43" s="115">
        <f>IF(ISNUMBER(SEARCH('Карта учёта'!$B$14,Расходка[[#This Row],[Наименование расходного материала]])),MAX($F$1:F42)+1,0)</f>
        <v>0</v>
      </c>
      <c r="G43" s="115">
        <f>IF(ISNUMBER(SEARCH('Карта учёта'!$B$15,Расходка[[#This Row],[Наименование расходного материала]])),MAX($G$1:G42)+1,0)</f>
        <v>0</v>
      </c>
      <c r="H43" s="115">
        <f>IF(ISNUMBER(SEARCH('Карта учёта'!#REF!,Расходка[[#This Row],[Наименование расходного материала]])),MAX($H$1:H42)+1,0)</f>
        <v>0</v>
      </c>
      <c r="I43" s="115">
        <f>IF(ISNUMBER(SEARCH('Карта учёта'!$B$17,Расходка[[#This Row],[Наименование расходного материала]])),MAX($I$1:I42)+1,0)</f>
        <v>0</v>
      </c>
      <c r="J43" s="115">
        <f>IF(ISNUMBER(SEARCH('Карта учёта'!$B$18,Расходка[[#This Row],[Наименование расходного материала]])),MAX($J$1:J42)+1,0)</f>
        <v>42</v>
      </c>
      <c r="K43" s="115">
        <f>IF(ISNUMBER(SEARCH('Карта учёта'!$B$16,Расходка[[#This Row],[Наименование расходного материала]])),MAX($K$1:K42)+1,0)</f>
        <v>0</v>
      </c>
      <c r="L43" s="115">
        <f>IF(ISNUMBER(SEARCH('Карта учёта'!$B$20,Расходка[[#This Row],[Наименование расходного материала]])),MAX($L$1:L42)+1,0)</f>
        <v>42</v>
      </c>
      <c r="M43" s="115">
        <f>IF(ISNUMBER(SEARCH('Карта учёта'!$B$21,Расходка[[#This Row],[Наименование расходного материала]])),MAX($M$1:M42)+1,0)</f>
        <v>42</v>
      </c>
      <c r="N43" s="115">
        <f>IF(ISNUMBER(SEARCH('Карта учёта'!$B$22,Расходка[[#This Row],[Наименование расходного материала]])),MAX($N$1:N42)+1,0)</f>
        <v>42</v>
      </c>
      <c r="O43" s="115">
        <f>IF(ISNUMBER(SEARCH('Карта учёта'!$B$23,Расходка[[#This Row],[Наименование расходного материала]])),MAX($O$1:O42)+1,0)</f>
        <v>42</v>
      </c>
      <c r="P43" s="115">
        <f>IF(ISNUMBER(SEARCH('Карта учёта'!$B$24,Расходка[[#This Row],[Наименование расходного материала]])),MAX($P$1:P42)+1,0)</f>
        <v>42</v>
      </c>
      <c r="Q43" s="115">
        <f>IF(ISNUMBER(SEARCH('Карта учёта'!$B$25,Расходка[[#This Row],[Наименование расходного материала]])),MAX($Q$1:Q42)+1,0)</f>
        <v>42</v>
      </c>
      <c r="R43" s="114" t="str">
        <f>IFERROR(INDEX(Расходка[Наименование расходного материала],MATCH(Расходка[[#This Row],[№]],Поиск_расходки[Индекс1],0)),"")</f>
        <v/>
      </c>
      <c r="S43" s="114" t="str">
        <f>IFERROR(INDEX(Расходка[Наименование расходного материала],MATCH(Расходка[[#This Row],[№]],Поиск_расходки[Индекс2],0)),"")</f>
        <v/>
      </c>
      <c r="T43" s="114" t="str">
        <f>IFERROR(INDEX(Расходка[Наименование расходного материала],MATCH(Расходка[[#This Row],[№]],Поиск_расходки[Индекс3],0)),"")</f>
        <v/>
      </c>
      <c r="U43" s="114" t="str">
        <f>IFERROR(INDEX(Расходка[Наименование расходного материала],MATCH(Расходка[[#This Row],[№]],Поиск_расходки[Индекс4],0)),"")</f>
        <v/>
      </c>
      <c r="V43" s="114" t="str">
        <f>IFERROR(INDEX(Расходка[Наименование расходного материала],MATCH(Расходка[[#This Row],[№]],Поиск_расходки[Индекс5],0)),"")</f>
        <v/>
      </c>
      <c r="W43" s="114" t="str">
        <f>IFERROR(INDEX(Расходка[Наименование расходного материала],MATCH(Расходка[[#This Row],[№]],Поиск_расходки[Индекс6],0)),"")</f>
        <v>Sion</v>
      </c>
      <c r="X43" s="114" t="str">
        <f>IFERROR(INDEX(Расходка[Наименование расходного материала],MATCH(Расходка[[#This Row],[№]],Поиск_расходки[Индекс7],0)),"")</f>
        <v/>
      </c>
      <c r="Y43" s="114" t="str">
        <f>IFERROR(INDEX(Расходка[Наименование расходного материала],MATCH(Расходка[[#This Row],[№]],Поиск_расходки[Индекс8],0)),"")</f>
        <v>Sion</v>
      </c>
      <c r="Z43" s="114" t="str">
        <f>IFERROR(INDEX(Расходка[Наименование расходного материала],MATCH(Расходка[[#This Row],[№]],Поиск_расходки[Индекс9],0)),"")</f>
        <v>Sion</v>
      </c>
      <c r="AA43" s="114" t="str">
        <f>IFERROR(INDEX(Расходка[Наименование расходного материала],MATCH(Расходка[[#This Row],[№]],Поиск_расходки[Индекс10],0)),"")</f>
        <v>Sion</v>
      </c>
      <c r="AB43" s="114" t="str">
        <f>IFERROR(INDEX(Расходка[Наименование расходного материала],MATCH(Расходка[[#This Row],[№]],Поиск_расходки[Индекс11],0)),"")</f>
        <v>Sion</v>
      </c>
      <c r="AC43" s="114" t="str">
        <f>IFERROR(INDEX(Расходка[Наименование расходного материала],MATCH(Расходка[[#This Row],[№]],Поиск_расходки[Индекс12],0)),"")</f>
        <v>Sion</v>
      </c>
      <c r="AD43" s="114" t="str">
        <f>IFERROR(INDEX(Расходка[Наименование расходного материала],MATCH(Расходка[[#This Row],[№]],Поиск_расходки[Индекс13],0)),"")</f>
        <v>Sion</v>
      </c>
      <c r="AF43" s="4" t="s">
        <v>6</v>
      </c>
      <c r="AG43" s="4" t="s">
        <v>406</v>
      </c>
    </row>
    <row r="44" spans="1:33">
      <c r="A44">
        <f>ROW(Расходка[[#This Row],[Тип расходного материала ]])-1</f>
        <v>43</v>
      </c>
      <c r="B44" t="s">
        <v>3</v>
      </c>
      <c r="C44" t="s">
        <v>374</v>
      </c>
      <c r="E44" s="115">
        <f>IF(ISNUMBER(SEARCH('Карта учёта'!$B$13,Расходка[[#This Row],[Наименование расходного материала]])),MAX($E$1:E43)+1,0)</f>
        <v>0</v>
      </c>
      <c r="F44" s="115">
        <f>IF(ISNUMBER(SEARCH('Карта учёта'!$B$14,Расходка[[#This Row],[Наименование расходного материала]])),MAX($F$1:F43)+1,0)</f>
        <v>0</v>
      </c>
      <c r="G44" s="115">
        <f>IF(ISNUMBER(SEARCH('Карта учёта'!$B$15,Расходка[[#This Row],[Наименование расходного материала]])),MAX($G$1:G43)+1,0)</f>
        <v>0</v>
      </c>
      <c r="H44" s="115">
        <f>IF(ISNUMBER(SEARCH('Карта учёта'!#REF!,Расходка[[#This Row],[Наименование расходного материала]])),MAX($H$1:H43)+1,0)</f>
        <v>0</v>
      </c>
      <c r="I44" s="115">
        <f>IF(ISNUMBER(SEARCH('Карта учёта'!$B$17,Расходка[[#This Row],[Наименование расходного материала]])),MAX($I$1:I43)+1,0)</f>
        <v>0</v>
      </c>
      <c r="J44" s="115">
        <f>IF(ISNUMBER(SEARCH('Карта учёта'!$B$18,Расходка[[#This Row],[Наименование расходного материала]])),MAX($J$1:J43)+1,0)</f>
        <v>43</v>
      </c>
      <c r="K44" s="115">
        <f>IF(ISNUMBER(SEARCH('Карта учёта'!$B$16,Расходка[[#This Row],[Наименование расходного материала]])),MAX($K$1:K43)+1,0)</f>
        <v>0</v>
      </c>
      <c r="L44" s="115">
        <f>IF(ISNUMBER(SEARCH('Карта учёта'!$B$20,Расходка[[#This Row],[Наименование расходного материала]])),MAX($L$1:L43)+1,0)</f>
        <v>43</v>
      </c>
      <c r="M44" s="115">
        <f>IF(ISNUMBER(SEARCH('Карта учёта'!$B$21,Расходка[[#This Row],[Наименование расходного материала]])),MAX($M$1:M43)+1,0)</f>
        <v>43</v>
      </c>
      <c r="N44" s="115">
        <f>IF(ISNUMBER(SEARCH('Карта учёта'!$B$22,Расходка[[#This Row],[Наименование расходного материала]])),MAX($N$1:N43)+1,0)</f>
        <v>43</v>
      </c>
      <c r="O44" s="115">
        <f>IF(ISNUMBER(SEARCH('Карта учёта'!$B$23,Расходка[[#This Row],[Наименование расходного материала]])),MAX($O$1:O43)+1,0)</f>
        <v>43</v>
      </c>
      <c r="P44" s="115">
        <f>IF(ISNUMBER(SEARCH('Карта учёта'!$B$24,Расходка[[#This Row],[Наименование расходного материала]])),MAX($P$1:P43)+1,0)</f>
        <v>43</v>
      </c>
      <c r="Q44" s="115">
        <f>IF(ISNUMBER(SEARCH('Карта учёта'!$B$25,Расходка[[#This Row],[Наименование расходного материала]])),MAX($Q$1:Q43)+1,0)</f>
        <v>43</v>
      </c>
      <c r="R44" s="114" t="str">
        <f>IFERROR(INDEX(Расходка[Наименование расходного материала],MATCH(Расходка[[#This Row],[№]],Поиск_расходки[Индекс1],0)),"")</f>
        <v/>
      </c>
      <c r="S44" s="114" t="str">
        <f>IFERROR(INDEX(Расходка[Наименование расходного материала],MATCH(Расходка[[#This Row],[№]],Поиск_расходки[Индекс2],0)),"")</f>
        <v/>
      </c>
      <c r="T44" s="114" t="str">
        <f>IFERROR(INDEX(Расходка[Наименование расходного материала],MATCH(Расходка[[#This Row],[№]],Поиск_расходки[Индекс3],0)),"")</f>
        <v/>
      </c>
      <c r="U44" s="114" t="str">
        <f>IFERROR(INDEX(Расходка[Наименование расходного материала],MATCH(Расходка[[#This Row],[№]],Поиск_расходки[Индекс4],0)),"")</f>
        <v/>
      </c>
      <c r="V44" s="114" t="str">
        <f>IFERROR(INDEX(Расходка[Наименование расходного материала],MATCH(Расходка[[#This Row],[№]],Поиск_расходки[Индекс5],0)),"")</f>
        <v/>
      </c>
      <c r="W44" s="114" t="str">
        <f>IFERROR(INDEX(Расходка[Наименование расходного материала],MATCH(Расходка[[#This Row],[№]],Поиск_расходки[Индекс6],0)),"")</f>
        <v>Sion Black</v>
      </c>
      <c r="X44" s="114" t="str">
        <f>IFERROR(INDEX(Расходка[Наименование расходного материала],MATCH(Расходка[[#This Row],[№]],Поиск_расходки[Индекс7],0)),"")</f>
        <v/>
      </c>
      <c r="Y44" s="114" t="str">
        <f>IFERROR(INDEX(Расходка[Наименование расходного материала],MATCH(Расходка[[#This Row],[№]],Поиск_расходки[Индекс8],0)),"")</f>
        <v>Sion Black</v>
      </c>
      <c r="Z44" s="114" t="str">
        <f>IFERROR(INDEX(Расходка[Наименование расходного материала],MATCH(Расходка[[#This Row],[№]],Поиск_расходки[Индекс9],0)),"")</f>
        <v>Sion Black</v>
      </c>
      <c r="AA44" s="114" t="str">
        <f>IFERROR(INDEX(Расходка[Наименование расходного материала],MATCH(Расходка[[#This Row],[№]],Поиск_расходки[Индекс10],0)),"")</f>
        <v>Sion Black</v>
      </c>
      <c r="AB44" s="114" t="str">
        <f>IFERROR(INDEX(Расходка[Наименование расходного материала],MATCH(Расходка[[#This Row],[№]],Поиск_расходки[Индекс11],0)),"")</f>
        <v>Sion Black</v>
      </c>
      <c r="AC44" s="114" t="str">
        <f>IFERROR(INDEX(Расходка[Наименование расходного материала],MATCH(Расходка[[#This Row],[№]],Поиск_расходки[Индекс12],0)),"")</f>
        <v>Sion Black</v>
      </c>
      <c r="AD44" s="114" t="str">
        <f>IFERROR(INDEX(Расходка[Наименование расходного материала],MATCH(Расходка[[#This Row],[№]],Поиск_расходки[Индекс13],0)),"")</f>
        <v>Sion Black</v>
      </c>
      <c r="AF44" s="4" t="s">
        <v>6</v>
      </c>
      <c r="AG44" s="4" t="s">
        <v>434</v>
      </c>
    </row>
    <row r="45" spans="1:33">
      <c r="A45">
        <f>ROW(Расходка[[#This Row],[Тип расходного материала ]])-1</f>
        <v>44</v>
      </c>
      <c r="B45" t="s">
        <v>3</v>
      </c>
      <c r="C45" s="1" t="s">
        <v>369</v>
      </c>
      <c r="E45" s="115">
        <f>IF(ISNUMBER(SEARCH('Карта учёта'!$B$13,Расходка[[#This Row],[Наименование расходного материала]])),MAX($E$1:E44)+1,0)</f>
        <v>0</v>
      </c>
      <c r="F45" s="115">
        <f>IF(ISNUMBER(SEARCH('Карта учёта'!$B$14,Расходка[[#This Row],[Наименование расходного материала]])),MAX($F$1:F44)+1,0)</f>
        <v>0</v>
      </c>
      <c r="G45" s="115">
        <f>IF(ISNUMBER(SEARCH('Карта учёта'!$B$15,Расходка[[#This Row],[Наименование расходного материала]])),MAX($G$1:G44)+1,0)</f>
        <v>0</v>
      </c>
      <c r="H45" s="115">
        <f>IF(ISNUMBER(SEARCH('Карта учёта'!#REF!,Расходка[[#This Row],[Наименование расходного материала]])),MAX($H$1:H44)+1,0)</f>
        <v>0</v>
      </c>
      <c r="I45" s="115">
        <f>IF(ISNUMBER(SEARCH('Карта учёта'!$B$17,Расходка[[#This Row],[Наименование расходного материала]])),MAX($I$1:I44)+1,0)</f>
        <v>0</v>
      </c>
      <c r="J45" s="115">
        <f>IF(ISNUMBER(SEARCH('Карта учёта'!$B$18,Расходка[[#This Row],[Наименование расходного материала]])),MAX($J$1:J44)+1,0)</f>
        <v>44</v>
      </c>
      <c r="K45" s="115">
        <f>IF(ISNUMBER(SEARCH('Карта учёта'!$B$16,Расходка[[#This Row],[Наименование расходного материала]])),MAX($K$1:K44)+1,0)</f>
        <v>0</v>
      </c>
      <c r="L45" s="115">
        <f>IF(ISNUMBER(SEARCH('Карта учёта'!$B$20,Расходка[[#This Row],[Наименование расходного материала]])),MAX($L$1:L44)+1,0)</f>
        <v>44</v>
      </c>
      <c r="M45" s="115">
        <f>IF(ISNUMBER(SEARCH('Карта учёта'!$B$21,Расходка[[#This Row],[Наименование расходного материала]])),MAX($M$1:M44)+1,0)</f>
        <v>44</v>
      </c>
      <c r="N45" s="115">
        <f>IF(ISNUMBER(SEARCH('Карта учёта'!$B$22,Расходка[[#This Row],[Наименование расходного материала]])),MAX($N$1:N44)+1,0)</f>
        <v>44</v>
      </c>
      <c r="O45" s="115">
        <f>IF(ISNUMBER(SEARCH('Карта учёта'!$B$23,Расходка[[#This Row],[Наименование расходного материала]])),MAX($O$1:O44)+1,0)</f>
        <v>44</v>
      </c>
      <c r="P45" s="115">
        <f>IF(ISNUMBER(SEARCH('Карта учёта'!$B$24,Расходка[[#This Row],[Наименование расходного материала]])),MAX($P$1:P44)+1,0)</f>
        <v>44</v>
      </c>
      <c r="Q45" s="115">
        <f>IF(ISNUMBER(SEARCH('Карта учёта'!$B$25,Расходка[[#This Row],[Наименование расходного материала]])),MAX($Q$1:Q44)+1,0)</f>
        <v>44</v>
      </c>
      <c r="R45" s="114" t="str">
        <f>IFERROR(INDEX(Расходка[Наименование расходного материала],MATCH(Расходка[[#This Row],[№]],Поиск_расходки[Индекс1],0)),"")</f>
        <v/>
      </c>
      <c r="S45" s="114" t="str">
        <f>IFERROR(INDEX(Расходка[Наименование расходного материала],MATCH(Расходка[[#This Row],[№]],Поиск_расходки[Индекс2],0)),"")</f>
        <v/>
      </c>
      <c r="T45" s="114" t="str">
        <f>IFERROR(INDEX(Расходка[Наименование расходного материала],MATCH(Расходка[[#This Row],[№]],Поиск_расходки[Индекс3],0)),"")</f>
        <v/>
      </c>
      <c r="U45" s="114" t="str">
        <f>IFERROR(INDEX(Расходка[Наименование расходного материала],MATCH(Расходка[[#This Row],[№]],Поиск_расходки[Индекс4],0)),"")</f>
        <v/>
      </c>
      <c r="V45" s="114" t="str">
        <f>IFERROR(INDEX(Расходка[Наименование расходного материала],MATCH(Расходка[[#This Row],[№]],Поиск_расходки[Индекс5],0)),"")</f>
        <v/>
      </c>
      <c r="W45" s="114" t="str">
        <f>IFERROR(INDEX(Расходка[Наименование расходного материала],MATCH(Расходка[[#This Row],[№]],Поиск_расходки[Индекс6],0)),"")</f>
        <v>Sion Blue</v>
      </c>
      <c r="X45" s="114" t="str">
        <f>IFERROR(INDEX(Расходка[Наименование расходного материала],MATCH(Расходка[[#This Row],[№]],Поиск_расходки[Индекс7],0)),"")</f>
        <v/>
      </c>
      <c r="Y45" s="114" t="str">
        <f>IFERROR(INDEX(Расходка[Наименование расходного материала],MATCH(Расходка[[#This Row],[№]],Поиск_расходки[Индекс8],0)),"")</f>
        <v>Sion Blue</v>
      </c>
      <c r="Z45" s="114" t="str">
        <f>IFERROR(INDEX(Расходка[Наименование расходного материала],MATCH(Расходка[[#This Row],[№]],Поиск_расходки[Индекс9],0)),"")</f>
        <v>Sion Blue</v>
      </c>
      <c r="AA45" s="114" t="str">
        <f>IFERROR(INDEX(Расходка[Наименование расходного материала],MATCH(Расходка[[#This Row],[№]],Поиск_расходки[Индекс10],0)),"")</f>
        <v>Sion Blue</v>
      </c>
      <c r="AB45" s="114" t="str">
        <f>IFERROR(INDEX(Расходка[Наименование расходного материала],MATCH(Расходка[[#This Row],[№]],Поиск_расходки[Индекс11],0)),"")</f>
        <v>Sion Blue</v>
      </c>
      <c r="AC45" s="114" t="str">
        <f>IFERROR(INDEX(Расходка[Наименование расходного материала],MATCH(Расходка[[#This Row],[№]],Поиск_расходки[Индекс12],0)),"")</f>
        <v>Sion Blue</v>
      </c>
      <c r="AD45" s="114" t="str">
        <f>IFERROR(INDEX(Расходка[Наименование расходного материала],MATCH(Расходка[[#This Row],[№]],Поиск_расходки[Индекс13],0)),"")</f>
        <v>Sion Blue</v>
      </c>
      <c r="AF45" s="4" t="s">
        <v>6</v>
      </c>
      <c r="AG45" s="4" t="s">
        <v>435</v>
      </c>
    </row>
    <row r="46" spans="1:33">
      <c r="A46">
        <f>ROW(Расходка[[#This Row],[Тип расходного материала ]])-1</f>
        <v>45</v>
      </c>
      <c r="B46" t="s">
        <v>3</v>
      </c>
      <c r="C46" t="s">
        <v>315</v>
      </c>
      <c r="E46" s="115">
        <f>IF(ISNUMBER(SEARCH('Карта учёта'!$B$13,Расходка[[#This Row],[Наименование расходного материала]])),MAX($E$1:E45)+1,0)</f>
        <v>0</v>
      </c>
      <c r="F46" s="115">
        <f>IF(ISNUMBER(SEARCH('Карта учёта'!$B$14,Расходка[[#This Row],[Наименование расходного материала]])),MAX($F$1:F45)+1,0)</f>
        <v>0</v>
      </c>
      <c r="G46" s="115">
        <f>IF(ISNUMBER(SEARCH('Карта учёта'!$B$15,Расходка[[#This Row],[Наименование расходного материала]])),MAX($G$1:G45)+1,0)</f>
        <v>0</v>
      </c>
      <c r="H46" s="115">
        <f>IF(ISNUMBER(SEARCH('Карта учёта'!#REF!,Расходка[[#This Row],[Наименование расходного материала]])),MAX($H$1:H45)+1,0)</f>
        <v>0</v>
      </c>
      <c r="I46" s="115">
        <f>IF(ISNUMBER(SEARCH('Карта учёта'!$B$17,Расходка[[#This Row],[Наименование расходного материала]])),MAX($I$1:I45)+1,0)</f>
        <v>0</v>
      </c>
      <c r="J46" s="115">
        <f>IF(ISNUMBER(SEARCH('Карта учёта'!$B$18,Расходка[[#This Row],[Наименование расходного материала]])),MAX($J$1:J45)+1,0)</f>
        <v>45</v>
      </c>
      <c r="K46" s="115">
        <f>IF(ISNUMBER(SEARCH('Карта учёта'!$B$16,Расходка[[#This Row],[Наименование расходного материала]])),MAX($K$1:K45)+1,0)</f>
        <v>0</v>
      </c>
      <c r="L46" s="115">
        <f>IF(ISNUMBER(SEARCH('Карта учёта'!$B$20,Расходка[[#This Row],[Наименование расходного материала]])),MAX($L$1:L45)+1,0)</f>
        <v>45</v>
      </c>
      <c r="M46" s="115">
        <f>IF(ISNUMBER(SEARCH('Карта учёта'!$B$21,Расходка[[#This Row],[Наименование расходного материала]])),MAX($M$1:M45)+1,0)</f>
        <v>45</v>
      </c>
      <c r="N46" s="115">
        <f>IF(ISNUMBER(SEARCH('Карта учёта'!$B$22,Расходка[[#This Row],[Наименование расходного материала]])),MAX($N$1:N45)+1,0)</f>
        <v>45</v>
      </c>
      <c r="O46" s="115">
        <f>IF(ISNUMBER(SEARCH('Карта учёта'!$B$23,Расходка[[#This Row],[Наименование расходного материала]])),MAX($O$1:O45)+1,0)</f>
        <v>45</v>
      </c>
      <c r="P46" s="115">
        <f>IF(ISNUMBER(SEARCH('Карта учёта'!$B$24,Расходка[[#This Row],[Наименование расходного материала]])),MAX($P$1:P45)+1,0)</f>
        <v>45</v>
      </c>
      <c r="Q46" s="115">
        <f>IF(ISNUMBER(SEARCH('Карта учёта'!$B$25,Расходка[[#This Row],[Наименование расходного материала]])),MAX($Q$1:Q45)+1,0)</f>
        <v>45</v>
      </c>
      <c r="R46" s="114" t="str">
        <f>IFERROR(INDEX(Расходка[Наименование расходного материала],MATCH(Расходка[[#This Row],[№]],Поиск_расходки[Индекс1],0)),"")</f>
        <v/>
      </c>
      <c r="S46" s="114" t="str">
        <f>IFERROR(INDEX(Расходка[Наименование расходного материала],MATCH(Расходка[[#This Row],[№]],Поиск_расходки[Индекс2],0)),"")</f>
        <v/>
      </c>
      <c r="T46" s="114" t="str">
        <f>IFERROR(INDEX(Расходка[Наименование расходного материала],MATCH(Расходка[[#This Row],[№]],Поиск_расходки[Индекс3],0)),"")</f>
        <v/>
      </c>
      <c r="U46" s="114" t="str">
        <f>IFERROR(INDEX(Расходка[Наименование расходного материала],MATCH(Расходка[[#This Row],[№]],Поиск_расходки[Индекс4],0)),"")</f>
        <v/>
      </c>
      <c r="V46" s="114" t="str">
        <f>IFERROR(INDEX(Расходка[Наименование расходного материала],MATCH(Расходка[[#This Row],[№]],Поиск_расходки[Индекс5],0)),"")</f>
        <v/>
      </c>
      <c r="W46" s="114" t="str">
        <f>IFERROR(INDEX(Расходка[Наименование расходного материала],MATCH(Расходка[[#This Row],[№]],Поиск_расходки[Индекс6],0)),"")</f>
        <v>Thunder</v>
      </c>
      <c r="X46" s="114" t="str">
        <f>IFERROR(INDEX(Расходка[Наименование расходного материала],MATCH(Расходка[[#This Row],[№]],Поиск_расходки[Индекс7],0)),"")</f>
        <v/>
      </c>
      <c r="Y46" s="114" t="str">
        <f>IFERROR(INDEX(Расходка[Наименование расходного материала],MATCH(Расходка[[#This Row],[№]],Поиск_расходки[Индекс8],0)),"")</f>
        <v>Thunder</v>
      </c>
      <c r="Z46" s="114" t="str">
        <f>IFERROR(INDEX(Расходка[Наименование расходного материала],MATCH(Расходка[[#This Row],[№]],Поиск_расходки[Индекс9],0)),"")</f>
        <v>Thunder</v>
      </c>
      <c r="AA46" s="114" t="str">
        <f>IFERROR(INDEX(Расходка[Наименование расходного материала],MATCH(Расходка[[#This Row],[№]],Поиск_расходки[Индекс10],0)),"")</f>
        <v>Thunder</v>
      </c>
      <c r="AB46" s="114" t="str">
        <f>IFERROR(INDEX(Расходка[Наименование расходного материала],MATCH(Расходка[[#This Row],[№]],Поиск_расходки[Индекс11],0)),"")</f>
        <v>Thunder</v>
      </c>
      <c r="AC46" s="114" t="str">
        <f>IFERROR(INDEX(Расходка[Наименование расходного материала],MATCH(Расходка[[#This Row],[№]],Поиск_расходки[Индекс12],0)),"")</f>
        <v>Thunder</v>
      </c>
      <c r="AD46" s="114" t="str">
        <f>IFERROR(INDEX(Расходка[Наименование расходного материала],MATCH(Расходка[[#This Row],[№]],Поиск_расходки[Индекс13],0)),"")</f>
        <v>Thunder</v>
      </c>
      <c r="AF46" s="4" t="s">
        <v>6</v>
      </c>
      <c r="AG46" s="4" t="s">
        <v>436</v>
      </c>
    </row>
    <row r="47" spans="1:33">
      <c r="A47">
        <f>ROW(Расходка[[#This Row],[Тип расходного материала ]])-1</f>
        <v>46</v>
      </c>
      <c r="B47" t="s">
        <v>3</v>
      </c>
      <c r="C47" t="s">
        <v>516</v>
      </c>
      <c r="E47" s="115">
        <f>IF(ISNUMBER(SEARCH('Карта учёта'!$B$13,Расходка[[#This Row],[Наименование расходного материала]])),MAX($E$1:E46)+1,0)</f>
        <v>0</v>
      </c>
      <c r="F47" s="115">
        <f>IF(ISNUMBER(SEARCH('Карта учёта'!$B$14,Расходка[[#This Row],[Наименование расходного материала]])),MAX($F$1:F46)+1,0)</f>
        <v>0</v>
      </c>
      <c r="G47" s="115">
        <f>IF(ISNUMBER(SEARCH('Карта учёта'!$B$15,Расходка[[#This Row],[Наименование расходного материала]])),MAX($G$1:G46)+1,0)</f>
        <v>0</v>
      </c>
      <c r="H47" s="115">
        <f>IF(ISNUMBER(SEARCH('Карта учёта'!#REF!,Расходка[[#This Row],[Наименование расходного материала]])),MAX($H$1:H46)+1,0)</f>
        <v>0</v>
      </c>
      <c r="I47" s="115">
        <f>IF(ISNUMBER(SEARCH('Карта учёта'!$B$17,Расходка[[#This Row],[Наименование расходного материала]])),MAX($I$1:I46)+1,0)</f>
        <v>0</v>
      </c>
      <c r="J47" s="115">
        <f>IF(ISNUMBER(SEARCH('Карта учёта'!$B$18,Расходка[[#This Row],[Наименование расходного материала]])),MAX($J$1:J46)+1,0)</f>
        <v>46</v>
      </c>
      <c r="K47" s="115">
        <f>IF(ISNUMBER(SEARCH('Карта учёта'!$B$16,Расходка[[#This Row],[Наименование расходного материала]])),MAX($K$1:K46)+1,0)</f>
        <v>0</v>
      </c>
      <c r="L47" s="115">
        <f>IF(ISNUMBER(SEARCH('Карта учёта'!$B$20,Расходка[[#This Row],[Наименование расходного материала]])),MAX($L$1:L46)+1,0)</f>
        <v>46</v>
      </c>
      <c r="M47" s="115">
        <f>IF(ISNUMBER(SEARCH('Карта учёта'!$B$21,Расходка[[#This Row],[Наименование расходного материала]])),MAX($M$1:M46)+1,0)</f>
        <v>46</v>
      </c>
      <c r="N47" s="115">
        <f>IF(ISNUMBER(SEARCH('Карта учёта'!$B$22,Расходка[[#This Row],[Наименование расходного материала]])),MAX($N$1:N46)+1,0)</f>
        <v>46</v>
      </c>
      <c r="O47" s="115">
        <f>IF(ISNUMBER(SEARCH('Карта учёта'!$B$23,Расходка[[#This Row],[Наименование расходного материала]])),MAX($O$1:O46)+1,0)</f>
        <v>46</v>
      </c>
      <c r="P47" s="115">
        <f>IF(ISNUMBER(SEARCH('Карта учёта'!$B$24,Расходка[[#This Row],[Наименование расходного материала]])),MAX($P$1:P46)+1,0)</f>
        <v>46</v>
      </c>
      <c r="Q47" s="115">
        <f>IF(ISNUMBER(SEARCH('Карта учёта'!$B$25,Расходка[[#This Row],[Наименование расходного материала]])),MAX($Q$1:Q46)+1,0)</f>
        <v>46</v>
      </c>
      <c r="R47" s="114" t="str">
        <f>IFERROR(INDEX(Расходка[Наименование расходного материала],MATCH(Расходка[[#This Row],[№]],Поиск_расходки[Индекс1],0)),"")</f>
        <v/>
      </c>
      <c r="S47" s="114" t="str">
        <f>IFERROR(INDEX(Расходка[Наименование расходного материала],MATCH(Расходка[[#This Row],[№]],Поиск_расходки[Индекс2],0)),"")</f>
        <v/>
      </c>
      <c r="T47" s="114" t="str">
        <f>IFERROR(INDEX(Расходка[Наименование расходного материала],MATCH(Расходка[[#This Row],[№]],Поиск_расходки[Индекс3],0)),"")</f>
        <v/>
      </c>
      <c r="U47" s="114" t="str">
        <f>IFERROR(INDEX(Расходка[Наименование расходного материала],MATCH(Расходка[[#This Row],[№]],Поиск_расходки[Индекс4],0)),"")</f>
        <v/>
      </c>
      <c r="V47" s="114" t="str">
        <f>IFERROR(INDEX(Расходка[Наименование расходного материала],MATCH(Расходка[[#This Row],[№]],Поиск_расходки[Индекс5],0)),"")</f>
        <v/>
      </c>
      <c r="W47" s="114" t="str">
        <f>IFERROR(INDEX(Расходка[Наименование расходного материала],MATCH(Расходка[[#This Row],[№]],Поиск_расходки[Индекс6],0)),"")</f>
        <v>Abbot Whisper MS</v>
      </c>
      <c r="X47" s="114" t="str">
        <f>IFERROR(INDEX(Расходка[Наименование расходного материала],MATCH(Расходка[[#This Row],[№]],Поиск_расходки[Индекс7],0)),"")</f>
        <v/>
      </c>
      <c r="Y47" s="114" t="str">
        <f>IFERROR(INDEX(Расходка[Наименование расходного материала],MATCH(Расходка[[#This Row],[№]],Поиск_расходки[Индекс8],0)),"")</f>
        <v>Abbot Whisper MS</v>
      </c>
      <c r="Z47" s="114" t="str">
        <f>IFERROR(INDEX(Расходка[Наименование расходного материала],MATCH(Расходка[[#This Row],[№]],Поиск_расходки[Индекс9],0)),"")</f>
        <v>Abbot Whisper MS</v>
      </c>
      <c r="AA47" s="114" t="str">
        <f>IFERROR(INDEX(Расходка[Наименование расходного материала],MATCH(Расходка[[#This Row],[№]],Поиск_расходки[Индекс10],0)),"")</f>
        <v>Abbot Whisper MS</v>
      </c>
      <c r="AB47" s="114" t="str">
        <f>IFERROR(INDEX(Расходка[Наименование расходного материала],MATCH(Расходка[[#This Row],[№]],Поиск_расходки[Индекс11],0)),"")</f>
        <v>Abbot Whisper MS</v>
      </c>
      <c r="AC47" s="114" t="str">
        <f>IFERROR(INDEX(Расходка[Наименование расходного материала],MATCH(Расходка[[#This Row],[№]],Поиск_расходки[Индекс12],0)),"")</f>
        <v>Abbot Whisper MS</v>
      </c>
      <c r="AD47" s="114" t="str">
        <f>IFERROR(INDEX(Расходка[Наименование расходного материала],MATCH(Расходка[[#This Row],[№]],Поиск_расходки[Индекс13],0)),"")</f>
        <v>Abbot Whisper MS</v>
      </c>
      <c r="AF47" s="4" t="s">
        <v>6</v>
      </c>
      <c r="AG47" s="4" t="s">
        <v>437</v>
      </c>
    </row>
    <row r="48" spans="1:33">
      <c r="A48">
        <f>ROW(Расходка[[#This Row],[Тип расходного материала ]])-1</f>
        <v>47</v>
      </c>
      <c r="B48" t="s">
        <v>3</v>
      </c>
      <c r="C48" t="s">
        <v>517</v>
      </c>
      <c r="E48" s="115">
        <f>IF(ISNUMBER(SEARCH('Карта учёта'!$B$13,Расходка[[#This Row],[Наименование расходного материала]])),MAX($E$1:E47)+1,0)</f>
        <v>0</v>
      </c>
      <c r="F48" s="115">
        <f>IF(ISNUMBER(SEARCH('Карта учёта'!$B$14,Расходка[[#This Row],[Наименование расходного материала]])),MAX($F$1:F47)+1,0)</f>
        <v>0</v>
      </c>
      <c r="G48" s="115">
        <f>IF(ISNUMBER(SEARCH('Карта учёта'!$B$15,Расходка[[#This Row],[Наименование расходного материала]])),MAX($G$1:G47)+1,0)</f>
        <v>0</v>
      </c>
      <c r="H48" s="115">
        <f>IF(ISNUMBER(SEARCH('Карта учёта'!#REF!,Расходка[[#This Row],[Наименование расходного материала]])),MAX($H$1:H47)+1,0)</f>
        <v>0</v>
      </c>
      <c r="I48" s="115">
        <f>IF(ISNUMBER(SEARCH('Карта учёта'!$B$17,Расходка[[#This Row],[Наименование расходного материала]])),MAX($I$1:I47)+1,0)</f>
        <v>0</v>
      </c>
      <c r="J48" s="115">
        <f>IF(ISNUMBER(SEARCH('Карта учёта'!$B$18,Расходка[[#This Row],[Наименование расходного материала]])),MAX($J$1:J47)+1,0)</f>
        <v>47</v>
      </c>
      <c r="K48" s="115">
        <f>IF(ISNUMBER(SEARCH('Карта учёта'!$B$16,Расходка[[#This Row],[Наименование расходного материала]])),MAX($K$1:K47)+1,0)</f>
        <v>0</v>
      </c>
      <c r="L48" s="115">
        <f>IF(ISNUMBER(SEARCH('Карта учёта'!$B$20,Расходка[[#This Row],[Наименование расходного материала]])),MAX($L$1:L47)+1,0)</f>
        <v>47</v>
      </c>
      <c r="M48" s="115">
        <f>IF(ISNUMBER(SEARCH('Карта учёта'!$B$21,Расходка[[#This Row],[Наименование расходного материала]])),MAX($M$1:M47)+1,0)</f>
        <v>47</v>
      </c>
      <c r="N48" s="115">
        <f>IF(ISNUMBER(SEARCH('Карта учёта'!$B$22,Расходка[[#This Row],[Наименование расходного материала]])),MAX($N$1:N47)+1,0)</f>
        <v>47</v>
      </c>
      <c r="O48" s="115">
        <f>IF(ISNUMBER(SEARCH('Карта учёта'!$B$23,Расходка[[#This Row],[Наименование расходного материала]])),MAX($O$1:O47)+1,0)</f>
        <v>47</v>
      </c>
      <c r="P48" s="115">
        <f>IF(ISNUMBER(SEARCH('Карта учёта'!$B$24,Расходка[[#This Row],[Наименование расходного материала]])),MAX($P$1:P47)+1,0)</f>
        <v>47</v>
      </c>
      <c r="Q48" s="115">
        <f>IF(ISNUMBER(SEARCH('Карта учёта'!$B$25,Расходка[[#This Row],[Наименование расходного материала]])),MAX($Q$1:Q47)+1,0)</f>
        <v>47</v>
      </c>
      <c r="R48" s="114" t="str">
        <f>IFERROR(INDEX(Расходка[Наименование расходного материала],MATCH(Расходка[[#This Row],[№]],Поиск_расходки[Индекс1],0)),"")</f>
        <v/>
      </c>
      <c r="S48" s="114" t="str">
        <f>IFERROR(INDEX(Расходка[Наименование расходного материала],MATCH(Расходка[[#This Row],[№]],Поиск_расходки[Индекс2],0)),"")</f>
        <v/>
      </c>
      <c r="T48" s="114" t="str">
        <f>IFERROR(INDEX(Расходка[Наименование расходного материала],MATCH(Расходка[[#This Row],[№]],Поиск_расходки[Индекс3],0)),"")</f>
        <v/>
      </c>
      <c r="U48" s="114" t="str">
        <f>IFERROR(INDEX(Расходка[Наименование расходного материала],MATCH(Расходка[[#This Row],[№]],Поиск_расходки[Индекс4],0)),"")</f>
        <v/>
      </c>
      <c r="V48" s="114" t="str">
        <f>IFERROR(INDEX(Расходка[Наименование расходного материала],MATCH(Расходка[[#This Row],[№]],Поиск_расходки[Индекс5],0)),"")</f>
        <v/>
      </c>
      <c r="W48" s="114" t="str">
        <f>IFERROR(INDEX(Расходка[Наименование расходного материала],MATCH(Расходка[[#This Row],[№]],Поиск_расходки[Индекс6],0)),"")</f>
        <v>Abbot Whisper LS</v>
      </c>
      <c r="X48" s="114" t="str">
        <f>IFERROR(INDEX(Расходка[Наименование расходного материала],MATCH(Расходка[[#This Row],[№]],Поиск_расходки[Индекс7],0)),"")</f>
        <v/>
      </c>
      <c r="Y48" s="114" t="str">
        <f>IFERROR(INDEX(Расходка[Наименование расходного материала],MATCH(Расходка[[#This Row],[№]],Поиск_расходки[Индекс8],0)),"")</f>
        <v>Abbot Whisper LS</v>
      </c>
      <c r="Z48" s="114" t="str">
        <f>IFERROR(INDEX(Расходка[Наименование расходного материала],MATCH(Расходка[[#This Row],[№]],Поиск_расходки[Индекс9],0)),"")</f>
        <v>Abbot Whisper LS</v>
      </c>
      <c r="AA48" s="114" t="str">
        <f>IFERROR(INDEX(Расходка[Наименование расходного материала],MATCH(Расходка[[#This Row],[№]],Поиск_расходки[Индекс10],0)),"")</f>
        <v>Abbot Whisper LS</v>
      </c>
      <c r="AB48" s="114" t="str">
        <f>IFERROR(INDEX(Расходка[Наименование расходного материала],MATCH(Расходка[[#This Row],[№]],Поиск_расходки[Индекс11],0)),"")</f>
        <v>Abbot Whisper LS</v>
      </c>
      <c r="AC48" s="114" t="str">
        <f>IFERROR(INDEX(Расходка[Наименование расходного материала],MATCH(Расходка[[#This Row],[№]],Поиск_расходки[Индекс12],0)),"")</f>
        <v>Abbot Whisper LS</v>
      </c>
      <c r="AD48" s="114" t="str">
        <f>IFERROR(INDEX(Расходка[Наименование расходного материала],MATCH(Расходка[[#This Row],[№]],Поиск_расходки[Индекс13],0)),"")</f>
        <v>Abbot Whisper LS</v>
      </c>
      <c r="AF48" s="4" t="s">
        <v>6</v>
      </c>
      <c r="AG48" s="4" t="s">
        <v>438</v>
      </c>
    </row>
    <row r="49" spans="1:33">
      <c r="A49">
        <f>ROW(Расходка[[#This Row],[Тип расходного материала ]])-1</f>
        <v>48</v>
      </c>
      <c r="B49" t="s">
        <v>3</v>
      </c>
      <c r="C49" t="s">
        <v>359</v>
      </c>
      <c r="E49" s="115">
        <f>IF(ISNUMBER(SEARCH('Карта учёта'!$B$13,Расходка[[#This Row],[Наименование расходного материала]])),MAX($E$1:E48)+1,0)</f>
        <v>0</v>
      </c>
      <c r="F49" s="115">
        <f>IF(ISNUMBER(SEARCH('Карта учёта'!$B$14,Расходка[[#This Row],[Наименование расходного материала]])),MAX($F$1:F48)+1,0)</f>
        <v>0</v>
      </c>
      <c r="G49" s="115">
        <f>IF(ISNUMBER(SEARCH('Карта учёта'!$B$15,Расходка[[#This Row],[Наименование расходного материала]])),MAX($G$1:G48)+1,0)</f>
        <v>0</v>
      </c>
      <c r="H49" s="115">
        <f>IF(ISNUMBER(SEARCH('Карта учёта'!#REF!,Расходка[[#This Row],[Наименование расходного материала]])),MAX($H$1:H48)+1,0)</f>
        <v>0</v>
      </c>
      <c r="I49" s="115">
        <f>IF(ISNUMBER(SEARCH('Карта учёта'!$B$17,Расходка[[#This Row],[Наименование расходного материала]])),MAX($I$1:I48)+1,0)</f>
        <v>0</v>
      </c>
      <c r="J49" s="115">
        <f>IF(ISNUMBER(SEARCH('Карта учёта'!$B$18,Расходка[[#This Row],[Наименование расходного материала]])),MAX($J$1:J48)+1,0)</f>
        <v>48</v>
      </c>
      <c r="K49" s="115">
        <f>IF(ISNUMBER(SEARCH('Карта учёта'!$B$16,Расходка[[#This Row],[Наименование расходного материала]])),MAX($K$1:K48)+1,0)</f>
        <v>0</v>
      </c>
      <c r="L49" s="115">
        <f>IF(ISNUMBER(SEARCH('Карта учёта'!$B$20,Расходка[[#This Row],[Наименование расходного материала]])),MAX($L$1:L48)+1,0)</f>
        <v>48</v>
      </c>
      <c r="M49" s="115">
        <f>IF(ISNUMBER(SEARCH('Карта учёта'!$B$21,Расходка[[#This Row],[Наименование расходного материала]])),MAX($M$1:M48)+1,0)</f>
        <v>48</v>
      </c>
      <c r="N49" s="115">
        <f>IF(ISNUMBER(SEARCH('Карта учёта'!$B$22,Расходка[[#This Row],[Наименование расходного материала]])),MAX($N$1:N48)+1,0)</f>
        <v>48</v>
      </c>
      <c r="O49" s="115">
        <f>IF(ISNUMBER(SEARCH('Карта учёта'!$B$23,Расходка[[#This Row],[Наименование расходного материала]])),MAX($O$1:O48)+1,0)</f>
        <v>48</v>
      </c>
      <c r="P49" s="115">
        <f>IF(ISNUMBER(SEARCH('Карта учёта'!$B$24,Расходка[[#This Row],[Наименование расходного материала]])),MAX($P$1:P48)+1,0)</f>
        <v>48</v>
      </c>
      <c r="Q49" s="115">
        <f>IF(ISNUMBER(SEARCH('Карта учёта'!$B$25,Расходка[[#This Row],[Наименование расходного материала]])),MAX($Q$1:Q48)+1,0)</f>
        <v>48</v>
      </c>
      <c r="R49" s="114" t="str">
        <f>IFERROR(INDEX(Расходка[Наименование расходного материала],MATCH(Расходка[[#This Row],[№]],Поиск_расходки[Индекс1],0)),"")</f>
        <v/>
      </c>
      <c r="S49" s="114" t="str">
        <f>IFERROR(INDEX(Расходка[Наименование расходного материала],MATCH(Расходка[[#This Row],[№]],Поиск_расходки[Индекс2],0)),"")</f>
        <v/>
      </c>
      <c r="T49" s="114" t="str">
        <f>IFERROR(INDEX(Расходка[Наименование расходного материала],MATCH(Расходка[[#This Row],[№]],Поиск_расходки[Индекс3],0)),"")</f>
        <v/>
      </c>
      <c r="U49" s="114" t="str">
        <f>IFERROR(INDEX(Расходка[Наименование расходного материала],MATCH(Расходка[[#This Row],[№]],Поиск_расходки[Индекс4],0)),"")</f>
        <v/>
      </c>
      <c r="V49" s="114" t="str">
        <f>IFERROR(INDEX(Расходка[Наименование расходного материала],MATCH(Расходка[[#This Row],[№]],Поиск_расходки[Индекс5],0)),"")</f>
        <v/>
      </c>
      <c r="W49" s="114" t="str">
        <f>IFERROR(INDEX(Расходка[Наименование расходного материала],MATCH(Расходка[[#This Row],[№]],Поиск_расходки[Индекс6],0)),"")</f>
        <v>Winn 200T</v>
      </c>
      <c r="X49" s="114" t="str">
        <f>IFERROR(INDEX(Расходка[Наименование расходного материала],MATCH(Расходка[[#This Row],[№]],Поиск_расходки[Индекс7],0)),"")</f>
        <v/>
      </c>
      <c r="Y49" s="114" t="str">
        <f>IFERROR(INDEX(Расходка[Наименование расходного материала],MATCH(Расходка[[#This Row],[№]],Поиск_расходки[Индекс8],0)),"")</f>
        <v>Winn 200T</v>
      </c>
      <c r="Z49" s="114" t="str">
        <f>IFERROR(INDEX(Расходка[Наименование расходного материала],MATCH(Расходка[[#This Row],[№]],Поиск_расходки[Индекс9],0)),"")</f>
        <v>Winn 200T</v>
      </c>
      <c r="AA49" s="114" t="str">
        <f>IFERROR(INDEX(Расходка[Наименование расходного материала],MATCH(Расходка[[#This Row],[№]],Поиск_расходки[Индекс10],0)),"")</f>
        <v>Winn 200T</v>
      </c>
      <c r="AB49" s="114" t="str">
        <f>IFERROR(INDEX(Расходка[Наименование расходного материала],MATCH(Расходка[[#This Row],[№]],Поиск_расходки[Индекс11],0)),"")</f>
        <v>Winn 200T</v>
      </c>
      <c r="AC49" s="114" t="str">
        <f>IFERROR(INDEX(Расходка[Наименование расходного материала],MATCH(Расходка[[#This Row],[№]],Поиск_расходки[Индекс12],0)),"")</f>
        <v>Winn 200T</v>
      </c>
      <c r="AD49" s="114" t="str">
        <f>IFERROR(INDEX(Расходка[Наименование расходного материала],MATCH(Расходка[[#This Row],[№]],Поиск_расходки[Индекс13],0)),"")</f>
        <v>Winn 200T</v>
      </c>
      <c r="AF49" s="4" t="s">
        <v>6</v>
      </c>
      <c r="AG49" s="4" t="s">
        <v>439</v>
      </c>
    </row>
    <row r="50" spans="1:33">
      <c r="A50">
        <f>ROW(Расходка[[#This Row],[Тип расходного материала ]])-1</f>
        <v>49</v>
      </c>
      <c r="B50" t="s">
        <v>3</v>
      </c>
      <c r="C50" t="s">
        <v>344</v>
      </c>
      <c r="E50" s="115">
        <f>IF(ISNUMBER(SEARCH('Карта учёта'!$B$13,Расходка[[#This Row],[Наименование расходного материала]])),MAX($E$1:E49)+1,0)</f>
        <v>0</v>
      </c>
      <c r="F50" s="115">
        <f>IF(ISNUMBER(SEARCH('Карта учёта'!$B$14,Расходка[[#This Row],[Наименование расходного материала]])),MAX($F$1:F49)+1,0)</f>
        <v>0</v>
      </c>
      <c r="G50" s="115">
        <f>IF(ISNUMBER(SEARCH('Карта учёта'!$B$15,Расходка[[#This Row],[Наименование расходного материала]])),MAX($G$1:G49)+1,0)</f>
        <v>0</v>
      </c>
      <c r="H50" s="115">
        <f>IF(ISNUMBER(SEARCH('Карта учёта'!#REF!,Расходка[[#This Row],[Наименование расходного материала]])),MAX($H$1:H49)+1,0)</f>
        <v>0</v>
      </c>
      <c r="I50" s="115">
        <f>IF(ISNUMBER(SEARCH('Карта учёта'!$B$17,Расходка[[#This Row],[Наименование расходного материала]])),MAX($I$1:I49)+1,0)</f>
        <v>0</v>
      </c>
      <c r="J50" s="115">
        <f>IF(ISNUMBER(SEARCH('Карта учёта'!$B$18,Расходка[[#This Row],[Наименование расходного материала]])),MAX($J$1:J49)+1,0)</f>
        <v>49</v>
      </c>
      <c r="K50" s="115">
        <f>IF(ISNUMBER(SEARCH('Карта учёта'!$B$16,Расходка[[#This Row],[Наименование расходного материала]])),MAX($K$1:K49)+1,0)</f>
        <v>0</v>
      </c>
      <c r="L50" s="115">
        <f>IF(ISNUMBER(SEARCH('Карта учёта'!$B$20,Расходка[[#This Row],[Наименование расходного материала]])),MAX($L$1:L49)+1,0)</f>
        <v>49</v>
      </c>
      <c r="M50" s="115">
        <f>IF(ISNUMBER(SEARCH('Карта учёта'!$B$21,Расходка[[#This Row],[Наименование расходного материала]])),MAX($M$1:M49)+1,0)</f>
        <v>49</v>
      </c>
      <c r="N50" s="115">
        <f>IF(ISNUMBER(SEARCH('Карта учёта'!$B$22,Расходка[[#This Row],[Наименование расходного материала]])),MAX($N$1:N49)+1,0)</f>
        <v>49</v>
      </c>
      <c r="O50" s="115">
        <f>IF(ISNUMBER(SEARCH('Карта учёта'!$B$23,Расходка[[#This Row],[Наименование расходного материала]])),MAX($O$1:O49)+1,0)</f>
        <v>49</v>
      </c>
      <c r="P50" s="115">
        <f>IF(ISNUMBER(SEARCH('Карта учёта'!$B$24,Расходка[[#This Row],[Наименование расходного материала]])),MAX($P$1:P49)+1,0)</f>
        <v>49</v>
      </c>
      <c r="Q50" s="115">
        <f>IF(ISNUMBER(SEARCH('Карта учёта'!$B$25,Расходка[[#This Row],[Наименование расходного материала]])),MAX($Q$1:Q49)+1,0)</f>
        <v>49</v>
      </c>
      <c r="R50" s="114" t="str">
        <f>IFERROR(INDEX(Расходка[Наименование расходного материала],MATCH(Расходка[[#This Row],[№]],Поиск_расходки[Индекс1],0)),"")</f>
        <v/>
      </c>
      <c r="S50" s="114" t="str">
        <f>IFERROR(INDEX(Расходка[Наименование расходного материала],MATCH(Расходка[[#This Row],[№]],Поиск_расходки[Индекс2],0)),"")</f>
        <v/>
      </c>
      <c r="T50" s="114" t="str">
        <f>IFERROR(INDEX(Расходка[Наименование расходного материала],MATCH(Расходка[[#This Row],[№]],Поиск_расходки[Индекс3],0)),"")</f>
        <v/>
      </c>
      <c r="U50" s="114" t="str">
        <f>IFERROR(INDEX(Расходка[Наименование расходного материала],MATCH(Расходка[[#This Row],[№]],Поиск_расходки[Индекс4],0)),"")</f>
        <v/>
      </c>
      <c r="V50" s="114" t="str">
        <f>IFERROR(INDEX(Расходка[Наименование расходного материала],MATCH(Расходка[[#This Row],[№]],Поиск_расходки[Индекс5],0)),"")</f>
        <v/>
      </c>
      <c r="W50" s="114" t="str">
        <f>IFERROR(INDEX(Расходка[Наименование расходного материала],MATCH(Расходка[[#This Row],[№]],Поиск_расходки[Индекс6],0)),"")</f>
        <v>Проводник коронарный  1g, Angioline</v>
      </c>
      <c r="X50" s="114" t="str">
        <f>IFERROR(INDEX(Расходка[Наименование расходного материала],MATCH(Расходка[[#This Row],[№]],Поиск_расходки[Индекс7],0)),"")</f>
        <v/>
      </c>
      <c r="Y50" s="114" t="str">
        <f>IFERROR(INDEX(Расходка[Наименование расходного материала],MATCH(Расходка[[#This Row],[№]],Поиск_расходки[Индекс8],0)),"")</f>
        <v>Проводник коронарный  1g, Angioline</v>
      </c>
      <c r="Z50" s="114" t="str">
        <f>IFERROR(INDEX(Расходка[Наименование расходного материала],MATCH(Расходка[[#This Row],[№]],Поиск_расходки[Индекс9],0)),"")</f>
        <v>Проводник коронарный  1g, Angioline</v>
      </c>
      <c r="AA50" s="114" t="str">
        <f>IFERROR(INDEX(Расходка[Наименование расходного материала],MATCH(Расходка[[#This Row],[№]],Поиск_расходки[Индекс10],0)),"")</f>
        <v>Проводник коронарный  1g, Angioline</v>
      </c>
      <c r="AB50" s="114" t="str">
        <f>IFERROR(INDEX(Расходка[Наименование расходного материала],MATCH(Расходка[[#This Row],[№]],Поиск_расходки[Индекс11],0)),"")</f>
        <v>Проводник коронарный  1g, Angioline</v>
      </c>
      <c r="AC50" s="114" t="str">
        <f>IFERROR(INDEX(Расходка[Наименование расходного материала],MATCH(Расходка[[#This Row],[№]],Поиск_расходки[Индекс12],0)),"")</f>
        <v>Проводник коронарный  1g, Angioline</v>
      </c>
      <c r="AD50" s="114" t="str">
        <f>IFERROR(INDEX(Расходка[Наименование расходного материала],MATCH(Расходка[[#This Row],[№]],Поиск_расходки[Индекс13],0)),"")</f>
        <v>Проводник коронарный  1g, Angioline</v>
      </c>
      <c r="AF50" s="4" t="s">
        <v>6</v>
      </c>
      <c r="AG50" s="4" t="s">
        <v>440</v>
      </c>
    </row>
    <row r="51" spans="1:33">
      <c r="A51">
        <f>ROW(Расходка[[#This Row],[Тип расходного материала ]])-1</f>
        <v>50</v>
      </c>
      <c r="B51" t="s">
        <v>3</v>
      </c>
      <c r="C51" t="s">
        <v>506</v>
      </c>
      <c r="E51" s="115">
        <f>IF(ISNUMBER(SEARCH('Карта учёта'!$B$13,Расходка[[#This Row],[Наименование расходного материала]])),MAX($E$1:E50)+1,0)</f>
        <v>0</v>
      </c>
      <c r="F51" s="115">
        <f>IF(ISNUMBER(SEARCH('Карта учёта'!$B$14,Расходка[[#This Row],[Наименование расходного материала]])),MAX($F$1:F50)+1,0)</f>
        <v>0</v>
      </c>
      <c r="G51" s="115">
        <f>IF(ISNUMBER(SEARCH('Карта учёта'!$B$15,Расходка[[#This Row],[Наименование расходного материала]])),MAX($G$1:G50)+1,0)</f>
        <v>0</v>
      </c>
      <c r="H51" s="115">
        <f>IF(ISNUMBER(SEARCH('Карта учёта'!#REF!,Расходка[[#This Row],[Наименование расходного материала]])),MAX($H$1:H50)+1,0)</f>
        <v>0</v>
      </c>
      <c r="I51" s="115">
        <f>IF(ISNUMBER(SEARCH('Карта учёта'!$B$17,Расходка[[#This Row],[Наименование расходного материала]])),MAX($I$1:I50)+1,0)</f>
        <v>0</v>
      </c>
      <c r="J51" s="115">
        <f>IF(ISNUMBER(SEARCH('Карта учёта'!$B$18,Расходка[[#This Row],[Наименование расходного материала]])),MAX($J$1:J50)+1,0)</f>
        <v>50</v>
      </c>
      <c r="K51" s="115">
        <f>IF(ISNUMBER(SEARCH('Карта учёта'!$B$16,Расходка[[#This Row],[Наименование расходного материала]])),MAX($K$1:K50)+1,0)</f>
        <v>0</v>
      </c>
      <c r="L51" s="115">
        <f>IF(ISNUMBER(SEARCH('Карта учёта'!$B$20,Расходка[[#This Row],[Наименование расходного материала]])),MAX($L$1:L50)+1,0)</f>
        <v>50</v>
      </c>
      <c r="M51" s="115">
        <f>IF(ISNUMBER(SEARCH('Карта учёта'!$B$21,Расходка[[#This Row],[Наименование расходного материала]])),MAX($M$1:M50)+1,0)</f>
        <v>50</v>
      </c>
      <c r="N51" s="115">
        <f>IF(ISNUMBER(SEARCH('Карта учёта'!$B$22,Расходка[[#This Row],[Наименование расходного материала]])),MAX($N$1:N50)+1,0)</f>
        <v>50</v>
      </c>
      <c r="O51" s="115">
        <f>IF(ISNUMBER(SEARCH('Карта учёта'!$B$23,Расходка[[#This Row],[Наименование расходного материала]])),MAX($O$1:O50)+1,0)</f>
        <v>50</v>
      </c>
      <c r="P51" s="115">
        <f>IF(ISNUMBER(SEARCH('Карта учёта'!$B$24,Расходка[[#This Row],[Наименование расходного материала]])),MAX($P$1:P50)+1,0)</f>
        <v>50</v>
      </c>
      <c r="Q51" s="115">
        <f>IF(ISNUMBER(SEARCH('Карта учёта'!$B$25,Расходка[[#This Row],[Наименование расходного материала]])),MAX($Q$1:Q50)+1,0)</f>
        <v>50</v>
      </c>
      <c r="R51" s="114" t="str">
        <f>IFERROR(INDEX(Расходка[Наименование расходного материала],MATCH(Расходка[[#This Row],[№]],Поиск_расходки[Индекс1],0)),"")</f>
        <v/>
      </c>
      <c r="S51" s="114" t="str">
        <f>IFERROR(INDEX(Расходка[Наименование расходного материала],MATCH(Расходка[[#This Row],[№]],Поиск_расходки[Индекс2],0)),"")</f>
        <v/>
      </c>
      <c r="T51" s="114" t="str">
        <f>IFERROR(INDEX(Расходка[Наименование расходного материала],MATCH(Расходка[[#This Row],[№]],Поиск_расходки[Индекс3],0)),"")</f>
        <v/>
      </c>
      <c r="U51" s="114" t="str">
        <f>IFERROR(INDEX(Расходка[Наименование расходного материала],MATCH(Расходка[[#This Row],[№]],Поиск_расходки[Индекс4],0)),"")</f>
        <v/>
      </c>
      <c r="V51" s="114" t="str">
        <f>IFERROR(INDEX(Расходка[Наименование расходного материала],MATCH(Расходка[[#This Row],[№]],Поиск_расходки[Индекс5],0)),"")</f>
        <v/>
      </c>
      <c r="W51" s="114" t="str">
        <f>IFERROR(INDEX(Расходка[Наименование расходного материала],MATCH(Расходка[[#This Row],[№]],Поиск_расходки[Индекс6],0)),"")</f>
        <v>Проводник коронарный  0,8g, Angioline</v>
      </c>
      <c r="X51" s="114" t="str">
        <f>IFERROR(INDEX(Расходка[Наименование расходного материала],MATCH(Расходка[[#This Row],[№]],Поиск_расходки[Индекс7],0)),"")</f>
        <v/>
      </c>
      <c r="Y51" s="114" t="str">
        <f>IFERROR(INDEX(Расходка[Наименование расходного материала],MATCH(Расходка[[#This Row],[№]],Поиск_расходки[Индекс8],0)),"")</f>
        <v>Проводник коронарный  0,8g, Angioline</v>
      </c>
      <c r="Z51" s="114" t="str">
        <f>IFERROR(INDEX(Расходка[Наименование расходного материала],MATCH(Расходка[[#This Row],[№]],Поиск_расходки[Индекс9],0)),"")</f>
        <v>Проводник коронарный  0,8g, Angioline</v>
      </c>
      <c r="AA51" s="114" t="str">
        <f>IFERROR(INDEX(Расходка[Наименование расходного материала],MATCH(Расходка[[#This Row],[№]],Поиск_расходки[Индекс10],0)),"")</f>
        <v>Проводник коронарный  0,8g, Angioline</v>
      </c>
      <c r="AB51" s="114" t="str">
        <f>IFERROR(INDEX(Расходка[Наименование расходного материала],MATCH(Расходка[[#This Row],[№]],Поиск_расходки[Индекс11],0)),"")</f>
        <v>Проводник коронарный  0,8g, Angioline</v>
      </c>
      <c r="AC51" s="114" t="str">
        <f>IFERROR(INDEX(Расходка[Наименование расходного материала],MATCH(Расходка[[#This Row],[№]],Поиск_расходки[Индекс12],0)),"")</f>
        <v>Проводник коронарный  0,8g, Angioline</v>
      </c>
      <c r="AD51" s="114" t="str">
        <f>IFERROR(INDEX(Расходка[Наименование расходного материала],MATCH(Расходка[[#This Row],[№]],Поиск_расходки[Индекс13],0)),"")</f>
        <v>Проводник коронарный  0,8g, Angioline</v>
      </c>
      <c r="AF51" s="4" t="s">
        <v>6</v>
      </c>
      <c r="AG51" s="4" t="s">
        <v>441</v>
      </c>
    </row>
    <row r="52" spans="1:33">
      <c r="A52">
        <f>ROW(Расходка[[#This Row],[Тип расходного материала ]])-1</f>
        <v>51</v>
      </c>
      <c r="B52" t="s">
        <v>3</v>
      </c>
      <c r="C52" t="s">
        <v>96</v>
      </c>
      <c r="E52" s="115">
        <f>IF(ISNUMBER(SEARCH('Карта учёта'!$B$13,Расходка[[#This Row],[Наименование расходного материала]])),MAX($E$1:E51)+1,0)</f>
        <v>0</v>
      </c>
      <c r="F52" s="115">
        <f>IF(ISNUMBER(SEARCH('Карта учёта'!$B$14,Расходка[[#This Row],[Наименование расходного материала]])),MAX($F$1:F51)+1,0)</f>
        <v>0</v>
      </c>
      <c r="G52" s="115">
        <f>IF(ISNUMBER(SEARCH('Карта учёта'!$B$15,Расходка[[#This Row],[Наименование расходного материала]])),MAX($G$1:G51)+1,0)</f>
        <v>0</v>
      </c>
      <c r="H52" s="115">
        <f>IF(ISNUMBER(SEARCH('Карта учёта'!#REF!,Расходка[[#This Row],[Наименование расходного материала]])),MAX($H$1:H51)+1,0)</f>
        <v>0</v>
      </c>
      <c r="I52" s="115">
        <f>IF(ISNUMBER(SEARCH('Карта учёта'!$B$17,Расходка[[#This Row],[Наименование расходного материала]])),MAX($I$1:I51)+1,0)</f>
        <v>0</v>
      </c>
      <c r="J52" s="115">
        <f>IF(ISNUMBER(SEARCH('Карта учёта'!$B$18,Расходка[[#This Row],[Наименование расходного материала]])),MAX($J$1:J51)+1,0)</f>
        <v>51</v>
      </c>
      <c r="K52" s="115">
        <f>IF(ISNUMBER(SEARCH('Карта учёта'!$B$16,Расходка[[#This Row],[Наименование расходного материала]])),MAX($K$1:K51)+1,0)</f>
        <v>0</v>
      </c>
      <c r="L52" s="115">
        <f>IF(ISNUMBER(SEARCH('Карта учёта'!$B$20,Расходка[[#This Row],[Наименование расходного материала]])),MAX($L$1:L51)+1,0)</f>
        <v>51</v>
      </c>
      <c r="M52" s="115">
        <f>IF(ISNUMBER(SEARCH('Карта учёта'!$B$21,Расходка[[#This Row],[Наименование расходного материала]])),MAX($M$1:M51)+1,0)</f>
        <v>51</v>
      </c>
      <c r="N52" s="115">
        <f>IF(ISNUMBER(SEARCH('Карта учёта'!$B$22,Расходка[[#This Row],[Наименование расходного материала]])),MAX($N$1:N51)+1,0)</f>
        <v>51</v>
      </c>
      <c r="O52" s="115">
        <f>IF(ISNUMBER(SEARCH('Карта учёта'!$B$23,Расходка[[#This Row],[Наименование расходного материала]])),MAX($O$1:O51)+1,0)</f>
        <v>51</v>
      </c>
      <c r="P52" s="115">
        <f>IF(ISNUMBER(SEARCH('Карта учёта'!$B$24,Расходка[[#This Row],[Наименование расходного материала]])),MAX($P$1:P51)+1,0)</f>
        <v>51</v>
      </c>
      <c r="Q52" s="115">
        <f>IF(ISNUMBER(SEARCH('Карта учёта'!$B$25,Расходка[[#This Row],[Наименование расходного материала]])),MAX($Q$1:Q51)+1,0)</f>
        <v>51</v>
      </c>
      <c r="R52" s="114" t="str">
        <f>IFERROR(INDEX(Расходка[Наименование расходного материала],MATCH(Расходка[[#This Row],[№]],Поиск_расходки[Индекс1],0)),"")</f>
        <v/>
      </c>
      <c r="S52" s="114" t="str">
        <f>IFERROR(INDEX(Расходка[Наименование расходного материала],MATCH(Расходка[[#This Row],[№]],Поиск_расходки[Индекс2],0)),"")</f>
        <v/>
      </c>
      <c r="T52" s="114" t="str">
        <f>IFERROR(INDEX(Расходка[Наименование расходного материала],MATCH(Расходка[[#This Row],[№]],Поиск_расходки[Индекс3],0)),"")</f>
        <v/>
      </c>
      <c r="U52" s="114" t="str">
        <f>IFERROR(INDEX(Расходка[Наименование расходного материала],MATCH(Расходка[[#This Row],[№]],Поиск_расходки[Индекс4],0)),"")</f>
        <v/>
      </c>
      <c r="V52" s="114" t="str">
        <f>IFERROR(INDEX(Расходка[Наименование расходного материала],MATCH(Расходка[[#This Row],[№]],Поиск_расходки[Индекс5],0)),"")</f>
        <v/>
      </c>
      <c r="W52" s="114" t="str">
        <f>IFERROR(INDEX(Расходка[Наименование расходного материала],MATCH(Расходка[[#This Row],[№]],Поиск_расходки[Индекс6],0)),"")</f>
        <v>Проводник коронарный  3g, Angioline</v>
      </c>
      <c r="X52" s="114" t="str">
        <f>IFERROR(INDEX(Расходка[Наименование расходного материала],MATCH(Расходка[[#This Row],[№]],Поиск_расходки[Индекс7],0)),"")</f>
        <v/>
      </c>
      <c r="Y52" s="114" t="str">
        <f>IFERROR(INDEX(Расходка[Наименование расходного материала],MATCH(Расходка[[#This Row],[№]],Поиск_расходки[Индекс8],0)),"")</f>
        <v>Проводник коронарный  3g, Angioline</v>
      </c>
      <c r="Z52" s="114" t="str">
        <f>IFERROR(INDEX(Расходка[Наименование расходного материала],MATCH(Расходка[[#This Row],[№]],Поиск_расходки[Индекс9],0)),"")</f>
        <v>Проводник коронарный  3g, Angioline</v>
      </c>
      <c r="AA52" s="114" t="str">
        <f>IFERROR(INDEX(Расходка[Наименование расходного материала],MATCH(Расходка[[#This Row],[№]],Поиск_расходки[Индекс10],0)),"")</f>
        <v>Проводник коронарный  3g, Angioline</v>
      </c>
      <c r="AB52" s="114" t="str">
        <f>IFERROR(INDEX(Расходка[Наименование расходного материала],MATCH(Расходка[[#This Row],[№]],Поиск_расходки[Индекс11],0)),"")</f>
        <v>Проводник коронарный  3g, Angioline</v>
      </c>
      <c r="AC52" s="114" t="str">
        <f>IFERROR(INDEX(Расходка[Наименование расходного материала],MATCH(Расходка[[#This Row],[№]],Поиск_расходки[Индекс12],0)),"")</f>
        <v>Проводник коронарный  3g, Angioline</v>
      </c>
      <c r="AD52" s="114" t="str">
        <f>IFERROR(INDEX(Расходка[Наименование расходного материала],MATCH(Расходка[[#This Row],[№]],Поиск_расходки[Индекс13],0)),"")</f>
        <v>Проводник коронарный  3g, Angioline</v>
      </c>
      <c r="AF52" s="4" t="s">
        <v>6</v>
      </c>
      <c r="AG52" s="4" t="s">
        <v>442</v>
      </c>
    </row>
    <row r="53" spans="1:33">
      <c r="A53">
        <f>ROW(Расходка[[#This Row],[Тип расходного материала ]])-1</f>
        <v>52</v>
      </c>
      <c r="B53" t="s">
        <v>3</v>
      </c>
      <c r="C53" t="s">
        <v>504</v>
      </c>
      <c r="E53" s="115">
        <f>IF(ISNUMBER(SEARCH('Карта учёта'!$B$13,Расходка[[#This Row],[Наименование расходного материала]])),MAX($E$1:E52)+1,0)</f>
        <v>0</v>
      </c>
      <c r="F53" s="115">
        <f>IF(ISNUMBER(SEARCH('Карта учёта'!$B$14,Расходка[[#This Row],[Наименование расходного материала]])),MAX($F$1:F52)+1,0)</f>
        <v>0</v>
      </c>
      <c r="G53" s="115">
        <f>IF(ISNUMBER(SEARCH('Карта учёта'!$B$15,Расходка[[#This Row],[Наименование расходного материала]])),MAX($G$1:G52)+1,0)</f>
        <v>0</v>
      </c>
      <c r="H53" s="115">
        <f>IF(ISNUMBER(SEARCH('Карта учёта'!#REF!,Расходка[[#This Row],[Наименование расходного материала]])),MAX($H$1:H52)+1,0)</f>
        <v>0</v>
      </c>
      <c r="I53" s="115">
        <f>IF(ISNUMBER(SEARCH('Карта учёта'!$B$17,Расходка[[#This Row],[Наименование расходного материала]])),MAX($I$1:I52)+1,0)</f>
        <v>0</v>
      </c>
      <c r="J53" s="115">
        <f>IF(ISNUMBER(SEARCH('Карта учёта'!$B$18,Расходка[[#This Row],[Наименование расходного материала]])),MAX($J$1:J52)+1,0)</f>
        <v>52</v>
      </c>
      <c r="K53" s="115">
        <f>IF(ISNUMBER(SEARCH('Карта учёта'!$B$16,Расходка[[#This Row],[Наименование расходного материала]])),MAX($K$1:K52)+1,0)</f>
        <v>0</v>
      </c>
      <c r="L53" s="115">
        <f>IF(ISNUMBER(SEARCH('Карта учёта'!$B$20,Расходка[[#This Row],[Наименование расходного материала]])),MAX($L$1:L52)+1,0)</f>
        <v>52</v>
      </c>
      <c r="M53" s="115">
        <f>IF(ISNUMBER(SEARCH('Карта учёта'!$B$21,Расходка[[#This Row],[Наименование расходного материала]])),MAX($M$1:M52)+1,0)</f>
        <v>52</v>
      </c>
      <c r="N53" s="115">
        <f>IF(ISNUMBER(SEARCH('Карта учёта'!$B$22,Расходка[[#This Row],[Наименование расходного материала]])),MAX($N$1:N52)+1,0)</f>
        <v>52</v>
      </c>
      <c r="O53" s="115">
        <f>IF(ISNUMBER(SEARCH('Карта учёта'!$B$23,Расходка[[#This Row],[Наименование расходного материала]])),MAX($O$1:O52)+1,0)</f>
        <v>52</v>
      </c>
      <c r="P53" s="115">
        <f>IF(ISNUMBER(SEARCH('Карта учёта'!$B$24,Расходка[[#This Row],[Наименование расходного материала]])),MAX($P$1:P52)+1,0)</f>
        <v>52</v>
      </c>
      <c r="Q53" s="115">
        <f>IF(ISNUMBER(SEARCH('Карта учёта'!$B$25,Расходка[[#This Row],[Наименование расходного материала]])),MAX($Q$1:Q52)+1,0)</f>
        <v>52</v>
      </c>
      <c r="R53" s="114" t="str">
        <f>IFERROR(INDEX(Расходка[Наименование расходного материала],MATCH(Расходка[[#This Row],[№]],Поиск_расходки[Индекс1],0)),"")</f>
        <v/>
      </c>
      <c r="S53" s="114" t="str">
        <f>IFERROR(INDEX(Расходка[Наименование расходного материала],MATCH(Расходка[[#This Row],[№]],Поиск_расходки[Индекс2],0)),"")</f>
        <v/>
      </c>
      <c r="T53" s="114" t="str">
        <f>IFERROR(INDEX(Расходка[Наименование расходного материала],MATCH(Расходка[[#This Row],[№]],Поиск_расходки[Индекс3],0)),"")</f>
        <v/>
      </c>
      <c r="U53" s="114" t="str">
        <f>IFERROR(INDEX(Расходка[Наименование расходного материала],MATCH(Расходка[[#This Row],[№]],Поиск_расходки[Индекс4],0)),"")</f>
        <v/>
      </c>
      <c r="V53" s="114" t="str">
        <f>IFERROR(INDEX(Расходка[Наименование расходного материала],MATCH(Расходка[[#This Row],[№]],Поиск_расходки[Индекс5],0)),"")</f>
        <v/>
      </c>
      <c r="W53" s="114" t="str">
        <f>IFERROR(INDEX(Расходка[Наименование расходного материала],MATCH(Расходка[[#This Row],[№]],Поиск_расходки[Индекс6],0)),"")</f>
        <v xml:space="preserve">Balancium </v>
      </c>
      <c r="X53" s="114" t="str">
        <f>IFERROR(INDEX(Расходка[Наименование расходного материала],MATCH(Расходка[[#This Row],[№]],Поиск_расходки[Индекс7],0)),"")</f>
        <v/>
      </c>
      <c r="Y53" s="114" t="str">
        <f>IFERROR(INDEX(Расходка[Наименование расходного материала],MATCH(Расходка[[#This Row],[№]],Поиск_расходки[Индекс8],0)),"")</f>
        <v xml:space="preserve">Balancium </v>
      </c>
      <c r="Z53" s="114" t="str">
        <f>IFERROR(INDEX(Расходка[Наименование расходного материала],MATCH(Расходка[[#This Row],[№]],Поиск_расходки[Индекс9],0)),"")</f>
        <v xml:space="preserve">Balancium </v>
      </c>
      <c r="AA53" s="114" t="str">
        <f>IFERROR(INDEX(Расходка[Наименование расходного материала],MATCH(Расходка[[#This Row],[№]],Поиск_расходки[Индекс10],0)),"")</f>
        <v xml:space="preserve">Balancium </v>
      </c>
      <c r="AB53" s="114" t="str">
        <f>IFERROR(INDEX(Расходка[Наименование расходного материала],MATCH(Расходка[[#This Row],[№]],Поиск_расходки[Индекс11],0)),"")</f>
        <v xml:space="preserve">Balancium </v>
      </c>
      <c r="AC53" s="114" t="str">
        <f>IFERROR(INDEX(Расходка[Наименование расходного материала],MATCH(Расходка[[#This Row],[№]],Поиск_расходки[Индекс12],0)),"")</f>
        <v xml:space="preserve">Balancium </v>
      </c>
      <c r="AD53" s="114" t="str">
        <f>IFERROR(INDEX(Расходка[Наименование расходного материала],MATCH(Расходка[[#This Row],[№]],Поиск_расходки[Индекс13],0)),"")</f>
        <v xml:space="preserve">Balancium </v>
      </c>
      <c r="AF53" s="4" t="s">
        <v>6</v>
      </c>
      <c r="AG53" s="4" t="s">
        <v>443</v>
      </c>
    </row>
    <row r="54" spans="1:33">
      <c r="A54">
        <f>ROW(Расходка[[#This Row],[Тип расходного материала ]])-1</f>
        <v>53</v>
      </c>
      <c r="B54" t="s">
        <v>3</v>
      </c>
      <c r="C54" t="s">
        <v>515</v>
      </c>
      <c r="E54" s="115">
        <f>IF(ISNUMBER(SEARCH('Карта учёта'!$B$13,Расходка[[#This Row],[Наименование расходного материала]])),MAX($E$1:E53)+1,0)</f>
        <v>0</v>
      </c>
      <c r="F54" s="115">
        <f>IF(ISNUMBER(SEARCH('Карта учёта'!$B$14,Расходка[[#This Row],[Наименование расходного материала]])),MAX($F$1:F53)+1,0)</f>
        <v>0</v>
      </c>
      <c r="G54" s="115">
        <f>IF(ISNUMBER(SEARCH('Карта учёта'!$B$15,Расходка[[#This Row],[Наименование расходного материала]])),MAX($G$1:G53)+1,0)</f>
        <v>1</v>
      </c>
      <c r="H54" s="115">
        <f>IF(ISNUMBER(SEARCH('Карта учёта'!#REF!,Расходка[[#This Row],[Наименование расходного материала]])),MAX($H$1:H53)+1,0)</f>
        <v>0</v>
      </c>
      <c r="I54" s="115">
        <f>IF(ISNUMBER(SEARCH('Карта учёта'!$B$17,Расходка[[#This Row],[Наименование расходного материала]])),MAX($I$1:I53)+1,0)</f>
        <v>0</v>
      </c>
      <c r="J54" s="115">
        <f>IF(ISNUMBER(SEARCH('Карта учёта'!$B$18,Расходка[[#This Row],[Наименование расходного материала]])),MAX($J$1:J53)+1,0)</f>
        <v>53</v>
      </c>
      <c r="K54" s="115">
        <f>IF(ISNUMBER(SEARCH('Карта учёта'!$B$16,Расходка[[#This Row],[Наименование расходного материала]])),MAX($K$1:K53)+1,0)</f>
        <v>0</v>
      </c>
      <c r="L54" s="115">
        <f>IF(ISNUMBER(SEARCH('Карта учёта'!$B$20,Расходка[[#This Row],[Наименование расходного материала]])),MAX($L$1:L53)+1,0)</f>
        <v>53</v>
      </c>
      <c r="M54" s="115">
        <f>IF(ISNUMBER(SEARCH('Карта учёта'!$B$21,Расходка[[#This Row],[Наименование расходного материала]])),MAX($M$1:M53)+1,0)</f>
        <v>53</v>
      </c>
      <c r="N54" s="115">
        <f>IF(ISNUMBER(SEARCH('Карта учёта'!$B$22,Расходка[[#This Row],[Наименование расходного материала]])),MAX($N$1:N53)+1,0)</f>
        <v>53</v>
      </c>
      <c r="O54" s="115">
        <f>IF(ISNUMBER(SEARCH('Карта учёта'!$B$23,Расходка[[#This Row],[Наименование расходного материала]])),MAX($O$1:O53)+1,0)</f>
        <v>53</v>
      </c>
      <c r="P54" s="115">
        <f>IF(ISNUMBER(SEARCH('Карта учёта'!$B$24,Расходка[[#This Row],[Наименование расходного материала]])),MAX($P$1:P53)+1,0)</f>
        <v>53</v>
      </c>
      <c r="Q54" s="115">
        <f>IF(ISNUMBER(SEARCH('Карта учёта'!$B$25,Расходка[[#This Row],[Наименование расходного материала]])),MAX($Q$1:Q53)+1,0)</f>
        <v>53</v>
      </c>
      <c r="R54" s="114" t="str">
        <f>IFERROR(INDEX(Расходка[Наименование расходного материала],MATCH(Расходка[[#This Row],[№]],Поиск_расходки[Индекс1],0)),"")</f>
        <v/>
      </c>
      <c r="S54" s="114" t="str">
        <f>IFERROR(INDEX(Расходка[Наименование расходного материала],MATCH(Расходка[[#This Row],[№]],Поиск_расходки[Индекс2],0)),"")</f>
        <v/>
      </c>
      <c r="T54" s="114" t="str">
        <f>IFERROR(INDEX(Расходка[Наименование расходного материала],MATCH(Расходка[[#This Row],[№]],Поиск_расходки[Индекс3],0)),"")</f>
        <v/>
      </c>
      <c r="U54" s="114" t="str">
        <f>IFERROR(INDEX(Расходка[Наименование расходного материала],MATCH(Расходка[[#This Row],[№]],Поиск_расходки[Индекс4],0)),"")</f>
        <v/>
      </c>
      <c r="V54" s="114" t="str">
        <f>IFERROR(INDEX(Расходка[Наименование расходного материала],MATCH(Расходка[[#This Row],[№]],Поиск_расходки[Индекс5],0)),"")</f>
        <v/>
      </c>
      <c r="W54" s="114" t="str">
        <f>IFERROR(INDEX(Расходка[Наименование расходного материала],MATCH(Расходка[[#This Row],[№]],Поиск_расходки[Индекс6],0)),"")</f>
        <v>Shunmei</v>
      </c>
      <c r="X54" s="114" t="str">
        <f>IFERROR(INDEX(Расходка[Наименование расходного материала],MATCH(Расходка[[#This Row],[№]],Поиск_расходки[Индекс7],0)),"")</f>
        <v/>
      </c>
      <c r="Y54" s="114" t="str">
        <f>IFERROR(INDEX(Расходка[Наименование расходного материала],MATCH(Расходка[[#This Row],[№]],Поиск_расходки[Индекс8],0)),"")</f>
        <v>Shunmei</v>
      </c>
      <c r="Z54" s="114" t="str">
        <f>IFERROR(INDEX(Расходка[Наименование расходного материала],MATCH(Расходка[[#This Row],[№]],Поиск_расходки[Индекс9],0)),"")</f>
        <v>Shunmei</v>
      </c>
      <c r="AA54" s="114" t="str">
        <f>IFERROR(INDEX(Расходка[Наименование расходного материала],MATCH(Расходка[[#This Row],[№]],Поиск_расходки[Индекс10],0)),"")</f>
        <v>Shunmei</v>
      </c>
      <c r="AB54" s="114" t="str">
        <f>IFERROR(INDEX(Расходка[Наименование расходного материала],MATCH(Расходка[[#This Row],[№]],Поиск_расходки[Индекс11],0)),"")</f>
        <v>Shunmei</v>
      </c>
      <c r="AC54" s="114" t="str">
        <f>IFERROR(INDEX(Расходка[Наименование расходного материала],MATCH(Расходка[[#This Row],[№]],Поиск_расходки[Индекс12],0)),"")</f>
        <v>Shunmei</v>
      </c>
      <c r="AD54" s="114" t="str">
        <f>IFERROR(INDEX(Расходка[Наименование расходного материала],MATCH(Расходка[[#This Row],[№]],Поиск_расходки[Индекс13],0)),"")</f>
        <v>Shunmei</v>
      </c>
      <c r="AF54" s="4" t="s">
        <v>6</v>
      </c>
      <c r="AG54" s="4" t="s">
        <v>444</v>
      </c>
    </row>
    <row r="55" spans="1:33">
      <c r="A55">
        <f>ROW(Расходка[[#This Row],[Тип расходного материала ]])-1</f>
        <v>54</v>
      </c>
      <c r="B55" t="s">
        <v>3</v>
      </c>
      <c r="C55" t="s">
        <v>519</v>
      </c>
      <c r="E55" s="115">
        <f>IF(ISNUMBER(SEARCH('Карта учёта'!$B$13,Расходка[[#This Row],[Наименование расходного материала]])),MAX($E$1:E54)+1,0)</f>
        <v>0</v>
      </c>
      <c r="F55" s="115">
        <f>IF(ISNUMBER(SEARCH('Карта учёта'!$B$14,Расходка[[#This Row],[Наименование расходного материала]])),MAX($F$1:F54)+1,0)</f>
        <v>0</v>
      </c>
      <c r="G55" s="115">
        <f>IF(ISNUMBER(SEARCH('Карта учёта'!$B$15,Расходка[[#This Row],[Наименование расходного материала]])),MAX($G$1:G54)+1,0)</f>
        <v>0</v>
      </c>
      <c r="H55" s="115">
        <f>IF(ISNUMBER(SEARCH('Карта учёта'!#REF!,Расходка[[#This Row],[Наименование расходного материала]])),MAX($H$1:H54)+1,0)</f>
        <v>0</v>
      </c>
      <c r="I55" s="115">
        <f>IF(ISNUMBER(SEARCH('Карта учёта'!$B$17,Расходка[[#This Row],[Наименование расходного материала]])),MAX($I$1:I54)+1,0)</f>
        <v>0</v>
      </c>
      <c r="J55" s="115">
        <f>IF(ISNUMBER(SEARCH('Карта учёта'!$B$18,Расходка[[#This Row],[Наименование расходного материала]])),MAX($J$1:J54)+1,0)</f>
        <v>54</v>
      </c>
      <c r="K55" s="115">
        <f>IF(ISNUMBER(SEARCH('Карта учёта'!$B$16,Расходка[[#This Row],[Наименование расходного материала]])),MAX($K$1:K54)+1,0)</f>
        <v>0</v>
      </c>
      <c r="L55" s="115">
        <f>IF(ISNUMBER(SEARCH('Карта учёта'!$B$20,Расходка[[#This Row],[Наименование расходного материала]])),MAX($L$1:L54)+1,0)</f>
        <v>54</v>
      </c>
      <c r="M55" s="115">
        <f>IF(ISNUMBER(SEARCH('Карта учёта'!$B$21,Расходка[[#This Row],[Наименование расходного материала]])),MAX($M$1:M54)+1,0)</f>
        <v>54</v>
      </c>
      <c r="N55" s="115">
        <f>IF(ISNUMBER(SEARCH('Карта учёта'!$B$22,Расходка[[#This Row],[Наименование расходного материала]])),MAX($N$1:N54)+1,0)</f>
        <v>54</v>
      </c>
      <c r="O55" s="115">
        <f>IF(ISNUMBER(SEARCH('Карта учёта'!$B$23,Расходка[[#This Row],[Наименование расходного материала]])),MAX($O$1:O54)+1,0)</f>
        <v>54</v>
      </c>
      <c r="P55" s="115">
        <f>IF(ISNUMBER(SEARCH('Карта учёта'!$B$24,Расходка[[#This Row],[Наименование расходного материала]])),MAX($P$1:P54)+1,0)</f>
        <v>54</v>
      </c>
      <c r="Q55" s="115">
        <f>IF(ISNUMBER(SEARCH('Карта учёта'!$B$25,Расходка[[#This Row],[Наименование расходного материала]])),MAX($Q$1:Q54)+1,0)</f>
        <v>54</v>
      </c>
      <c r="R55" s="114" t="str">
        <f>IFERROR(INDEX(Расходка[Наименование расходного материала],MATCH(Расходка[[#This Row],[№]],Поиск_расходки[Индекс1],0)),"")</f>
        <v/>
      </c>
      <c r="S55" s="114" t="str">
        <f>IFERROR(INDEX(Расходка[Наименование расходного материала],MATCH(Расходка[[#This Row],[№]],Поиск_расходки[Индекс2],0)),"")</f>
        <v/>
      </c>
      <c r="T55" s="114" t="str">
        <f>IFERROR(INDEX(Расходка[Наименование расходного материала],MATCH(Расходка[[#This Row],[№]],Поиск_расходки[Индекс3],0)),"")</f>
        <v/>
      </c>
      <c r="U55" s="114" t="str">
        <f>IFERROR(INDEX(Расходка[Наименование расходного материала],MATCH(Расходка[[#This Row],[№]],Поиск_расходки[Индекс4],0)),"")</f>
        <v/>
      </c>
      <c r="V55" s="114" t="str">
        <f>IFERROR(INDEX(Расходка[Наименование расходного материала],MATCH(Расходка[[#This Row],[№]],Поиск_расходки[Индекс5],0)),"")</f>
        <v/>
      </c>
      <c r="W55" s="114" t="str">
        <f>IFERROR(INDEX(Расходка[Наименование расходного материала],MATCH(Расходка[[#This Row],[№]],Поиск_расходки[Индекс6],0)),"")</f>
        <v>Pilot 150, 190 cm</v>
      </c>
      <c r="X55" s="114" t="str">
        <f>IFERROR(INDEX(Расходка[Наименование расходного материала],MATCH(Расходка[[#This Row],[№]],Поиск_расходки[Индекс7],0)),"")</f>
        <v/>
      </c>
      <c r="Y55" s="114" t="str">
        <f>IFERROR(INDEX(Расходка[Наименование расходного материала],MATCH(Расходка[[#This Row],[№]],Поиск_расходки[Индекс8],0)),"")</f>
        <v>Pilot 150, 190 cm</v>
      </c>
      <c r="Z55" s="114" t="str">
        <f>IFERROR(INDEX(Расходка[Наименование расходного материала],MATCH(Расходка[[#This Row],[№]],Поиск_расходки[Индекс9],0)),"")</f>
        <v>Pilot 150, 190 cm</v>
      </c>
      <c r="AA55" s="114" t="str">
        <f>IFERROR(INDEX(Расходка[Наименование расходного материала],MATCH(Расходка[[#This Row],[№]],Поиск_расходки[Индекс10],0)),"")</f>
        <v>Pilot 150, 190 cm</v>
      </c>
      <c r="AB55" s="114" t="str">
        <f>IFERROR(INDEX(Расходка[Наименование расходного материала],MATCH(Расходка[[#This Row],[№]],Поиск_расходки[Индекс11],0)),"")</f>
        <v>Pilot 150, 190 cm</v>
      </c>
      <c r="AC55" s="114" t="str">
        <f>IFERROR(INDEX(Расходка[Наименование расходного материала],MATCH(Расходка[[#This Row],[№]],Поиск_расходки[Индекс12],0)),"")</f>
        <v>Pilot 150, 190 cm</v>
      </c>
      <c r="AD55" s="114" t="str">
        <f>IFERROR(INDEX(Расходка[Наименование расходного материала],MATCH(Расходка[[#This Row],[№]],Поиск_расходки[Индекс13],0)),"")</f>
        <v>Pilot 150, 190 cm</v>
      </c>
      <c r="AF55" s="4" t="s">
        <v>6</v>
      </c>
      <c r="AG55" s="4" t="s">
        <v>445</v>
      </c>
    </row>
    <row r="56" spans="1:33">
      <c r="A56">
        <f>ROW(Расходка[[#This Row],[Тип расходного материала ]])-1</f>
        <v>55</v>
      </c>
      <c r="B56" t="s">
        <v>3</v>
      </c>
      <c r="C56" t="s">
        <v>520</v>
      </c>
      <c r="E56" s="115">
        <f>IF(ISNUMBER(SEARCH('Карта учёта'!$B$13,Расходка[[#This Row],[Наименование расходного материала]])),MAX($E$1:E55)+1,0)</f>
        <v>0</v>
      </c>
      <c r="F56" s="115">
        <f>IF(ISNUMBER(SEARCH('Карта учёта'!$B$14,Расходка[[#This Row],[Наименование расходного материала]])),MAX($F$1:F55)+1,0)</f>
        <v>0</v>
      </c>
      <c r="G56" s="115">
        <f>IF(ISNUMBER(SEARCH('Карта учёта'!$B$15,Расходка[[#This Row],[Наименование расходного материала]])),MAX($G$1:G55)+1,0)</f>
        <v>0</v>
      </c>
      <c r="H56" s="115">
        <f>IF(ISNUMBER(SEARCH('Карта учёта'!#REF!,Расходка[[#This Row],[Наименование расходного материала]])),MAX($H$1:H55)+1,0)</f>
        <v>0</v>
      </c>
      <c r="I56" s="115">
        <f>IF(ISNUMBER(SEARCH('Карта учёта'!$B$17,Расходка[[#This Row],[Наименование расходного материала]])),MAX($I$1:I55)+1,0)</f>
        <v>0</v>
      </c>
      <c r="J56" s="115">
        <f>IF(ISNUMBER(SEARCH('Карта учёта'!$B$18,Расходка[[#This Row],[Наименование расходного материала]])),MAX($J$1:J55)+1,0)</f>
        <v>55</v>
      </c>
      <c r="K56" s="115">
        <f>IF(ISNUMBER(SEARCH('Карта учёта'!$B$16,Расходка[[#This Row],[Наименование расходного материала]])),MAX($K$1:K55)+1,0)</f>
        <v>0</v>
      </c>
      <c r="L56" s="115">
        <f>IF(ISNUMBER(SEARCH('Карта учёта'!$B$20,Расходка[[#This Row],[Наименование расходного материала]])),MAX($L$1:L55)+1,0)</f>
        <v>55</v>
      </c>
      <c r="M56" s="115">
        <f>IF(ISNUMBER(SEARCH('Карта учёта'!$B$21,Расходка[[#This Row],[Наименование расходного материала]])),MAX($M$1:M55)+1,0)</f>
        <v>55</v>
      </c>
      <c r="N56" s="115">
        <f>IF(ISNUMBER(SEARCH('Карта учёта'!$B$22,Расходка[[#This Row],[Наименование расходного материала]])),MAX($N$1:N55)+1,0)</f>
        <v>55</v>
      </c>
      <c r="O56" s="115">
        <f>IF(ISNUMBER(SEARCH('Карта учёта'!$B$23,Расходка[[#This Row],[Наименование расходного материала]])),MAX($O$1:O55)+1,0)</f>
        <v>55</v>
      </c>
      <c r="P56" s="115">
        <f>IF(ISNUMBER(SEARCH('Карта учёта'!$B$24,Расходка[[#This Row],[Наименование расходного материала]])),MAX($P$1:P55)+1,0)</f>
        <v>55</v>
      </c>
      <c r="Q56" s="115">
        <f>IF(ISNUMBER(SEARCH('Карта учёта'!$B$25,Расходка[[#This Row],[Наименование расходного материала]])),MAX($Q$1:Q55)+1,0)</f>
        <v>55</v>
      </c>
      <c r="R56" s="114" t="str">
        <f>IFERROR(INDEX(Расходка[Наименование расходного материала],MATCH(Расходка[[#This Row],[№]],Поиск_расходки[Индекс1],0)),"")</f>
        <v/>
      </c>
      <c r="S56" s="114" t="str">
        <f>IFERROR(INDEX(Расходка[Наименование расходного материала],MATCH(Расходка[[#This Row],[№]],Поиск_расходки[Индекс2],0)),"")</f>
        <v/>
      </c>
      <c r="T56" s="114" t="str">
        <f>IFERROR(INDEX(Расходка[Наименование расходного материала],MATCH(Расходка[[#This Row],[№]],Поиск_расходки[Индекс3],0)),"")</f>
        <v/>
      </c>
      <c r="U56" s="114" t="str">
        <f>IFERROR(INDEX(Расходка[Наименование расходного материала],MATCH(Расходка[[#This Row],[№]],Поиск_расходки[Индекс4],0)),"")</f>
        <v/>
      </c>
      <c r="V56" s="114" t="str">
        <f>IFERROR(INDEX(Расходка[Наименование расходного материала],MATCH(Расходка[[#This Row],[№]],Поиск_расходки[Индекс5],0)),"")</f>
        <v/>
      </c>
      <c r="W56" s="114" t="str">
        <f>IFERROR(INDEX(Расходка[Наименование расходного материала],MATCH(Расходка[[#This Row],[№]],Поиск_расходки[Индекс6],0)),"")</f>
        <v>Pilot 150, 300 cm</v>
      </c>
      <c r="X56" s="114" t="str">
        <f>IFERROR(INDEX(Расходка[Наименование расходного материала],MATCH(Расходка[[#This Row],[№]],Поиск_расходки[Индекс7],0)),"")</f>
        <v/>
      </c>
      <c r="Y56" s="114" t="str">
        <f>IFERROR(INDEX(Расходка[Наименование расходного материала],MATCH(Расходка[[#This Row],[№]],Поиск_расходки[Индекс8],0)),"")</f>
        <v>Pilot 150, 300 cm</v>
      </c>
      <c r="Z56" s="114" t="str">
        <f>IFERROR(INDEX(Расходка[Наименование расходного материала],MATCH(Расходка[[#This Row],[№]],Поиск_расходки[Индекс9],0)),"")</f>
        <v>Pilot 150, 300 cm</v>
      </c>
      <c r="AA56" s="114" t="str">
        <f>IFERROR(INDEX(Расходка[Наименование расходного материала],MATCH(Расходка[[#This Row],[№]],Поиск_расходки[Индекс10],0)),"")</f>
        <v>Pilot 150, 300 cm</v>
      </c>
      <c r="AB56" s="114" t="str">
        <f>IFERROR(INDEX(Расходка[Наименование расходного материала],MATCH(Расходка[[#This Row],[№]],Поиск_расходки[Индекс11],0)),"")</f>
        <v>Pilot 150, 300 cm</v>
      </c>
      <c r="AC56" s="114" t="str">
        <f>IFERROR(INDEX(Расходка[Наименование расходного материала],MATCH(Расходка[[#This Row],[№]],Поиск_расходки[Индекс12],0)),"")</f>
        <v>Pilot 150, 300 cm</v>
      </c>
      <c r="AD56" s="114" t="str">
        <f>IFERROR(INDEX(Расходка[Наименование расходного материала],MATCH(Расходка[[#This Row],[№]],Поиск_расходки[Индекс13],0)),"")</f>
        <v>Pilot 150, 300 cm</v>
      </c>
      <c r="AF56" s="4" t="s">
        <v>6</v>
      </c>
      <c r="AG56" s="4" t="s">
        <v>446</v>
      </c>
    </row>
    <row r="57" spans="1:33">
      <c r="A57">
        <f>ROW(Расходка[[#This Row],[Тип расходного материала ]])-1</f>
        <v>56</v>
      </c>
      <c r="B57" t="s">
        <v>6</v>
      </c>
      <c r="C57" s="1" t="s">
        <v>277</v>
      </c>
      <c r="E57" s="115">
        <f>IF(ISNUMBER(SEARCH('Карта учёта'!$B$13,Расходка[[#This Row],[Наименование расходного материала]])),MAX($E$1:E56)+1,0)</f>
        <v>0</v>
      </c>
      <c r="F57" s="115">
        <f>IF(ISNUMBER(SEARCH('Карта учёта'!$B$14,Расходка[[#This Row],[Наименование расходного материала]])),MAX($F$1:F56)+1,0)</f>
        <v>0</v>
      </c>
      <c r="G57" s="115">
        <f>IF(ISNUMBER(SEARCH('Карта учёта'!$B$15,Расходка[[#This Row],[Наименование расходного материала]])),MAX($G$1:G56)+1,0)</f>
        <v>0</v>
      </c>
      <c r="H57" s="115">
        <f>IF(ISNUMBER(SEARCH('Карта учёта'!#REF!,Расходка[[#This Row],[Наименование расходного материала]])),MAX($H$1:H56)+1,0)</f>
        <v>0</v>
      </c>
      <c r="I57" s="115">
        <f>IF(ISNUMBER(SEARCH('Карта учёта'!$B$17,Расходка[[#This Row],[Наименование расходного материала]])),MAX($I$1:I56)+1,0)</f>
        <v>0</v>
      </c>
      <c r="J57" s="115">
        <f>IF(ISNUMBER(SEARCH('Карта учёта'!$B$18,Расходка[[#This Row],[Наименование расходного материала]])),MAX($J$1:J56)+1,0)</f>
        <v>56</v>
      </c>
      <c r="K57" s="115">
        <f>IF(ISNUMBER(SEARCH('Карта учёта'!$B$16,Расходка[[#This Row],[Наименование расходного материала]])),MAX($K$1:K56)+1,0)</f>
        <v>0</v>
      </c>
      <c r="L57" s="115">
        <f>IF(ISNUMBER(SEARCH('Карта учёта'!$B$20,Расходка[[#This Row],[Наименование расходного материала]])),MAX($L$1:L56)+1,0)</f>
        <v>56</v>
      </c>
      <c r="M57" s="115">
        <f>IF(ISNUMBER(SEARCH('Карта учёта'!$B$21,Расходка[[#This Row],[Наименование расходного материала]])),MAX($M$1:M56)+1,0)</f>
        <v>56</v>
      </c>
      <c r="N57" s="115">
        <f>IF(ISNUMBER(SEARCH('Карта учёта'!$B$22,Расходка[[#This Row],[Наименование расходного материала]])),MAX($N$1:N56)+1,0)</f>
        <v>56</v>
      </c>
      <c r="O57" s="115">
        <f>IF(ISNUMBER(SEARCH('Карта учёта'!$B$23,Расходка[[#This Row],[Наименование расходного материала]])),MAX($O$1:O56)+1,0)</f>
        <v>56</v>
      </c>
      <c r="P57" s="115">
        <f>IF(ISNUMBER(SEARCH('Карта учёта'!$B$24,Расходка[[#This Row],[Наименование расходного материала]])),MAX($P$1:P56)+1,0)</f>
        <v>56</v>
      </c>
      <c r="Q57" s="115">
        <f>IF(ISNUMBER(SEARCH('Карта учёта'!$B$25,Расходка[[#This Row],[Наименование расходного материала]])),MAX($Q$1:Q56)+1,0)</f>
        <v>56</v>
      </c>
      <c r="R57" s="114" t="str">
        <f>IFERROR(INDEX(Расходка[Наименование расходного материала],MATCH(Расходка[[#This Row],[№]],Поиск_расходки[Индекс1],0)),"")</f>
        <v/>
      </c>
      <c r="S57" s="114" t="str">
        <f>IFERROR(INDEX(Расходка[Наименование расходного материала],MATCH(Расходка[[#This Row],[№]],Поиск_расходки[Индекс2],0)),"")</f>
        <v/>
      </c>
      <c r="T57" s="114" t="str">
        <f>IFERROR(INDEX(Расходка[Наименование расходного материала],MATCH(Расходка[[#This Row],[№]],Поиск_расходки[Индекс3],0)),"")</f>
        <v/>
      </c>
      <c r="U57" s="114" t="str">
        <f>IFERROR(INDEX(Расходка[Наименование расходного материала],MATCH(Расходка[[#This Row],[№]],Поиск_расходки[Индекс4],0)),"")</f>
        <v/>
      </c>
      <c r="V57" s="114" t="str">
        <f>IFERROR(INDEX(Расходка[Наименование расходного материала],MATCH(Расходка[[#This Row],[№]],Поиск_расходки[Индекс5],0)),"")</f>
        <v/>
      </c>
      <c r="W57" s="114" t="str">
        <f>IFERROR(INDEX(Расходка[Наименование расходного материала],MATCH(Расходка[[#This Row],[№]],Поиск_расходки[Индекс6],0)),"")</f>
        <v>BMS, Integtity</v>
      </c>
      <c r="X57" s="114" t="str">
        <f>IFERROR(INDEX(Расходка[Наименование расходного материала],MATCH(Расходка[[#This Row],[№]],Поиск_расходки[Индекс7],0)),"")</f>
        <v/>
      </c>
      <c r="Y57" s="114" t="str">
        <f>IFERROR(INDEX(Расходка[Наименование расходного материала],MATCH(Расходка[[#This Row],[№]],Поиск_расходки[Индекс8],0)),"")</f>
        <v>BMS, Integtity</v>
      </c>
      <c r="Z57" s="114" t="str">
        <f>IFERROR(INDEX(Расходка[Наименование расходного материала],MATCH(Расходка[[#This Row],[№]],Поиск_расходки[Индекс9],0)),"")</f>
        <v>BMS, Integtity</v>
      </c>
      <c r="AA57" s="114" t="str">
        <f>IFERROR(INDEX(Расходка[Наименование расходного материала],MATCH(Расходка[[#This Row],[№]],Поиск_расходки[Индекс10],0)),"")</f>
        <v>BMS, Integtity</v>
      </c>
      <c r="AB57" s="114" t="str">
        <f>IFERROR(INDEX(Расходка[Наименование расходного материала],MATCH(Расходка[[#This Row],[№]],Поиск_расходки[Индекс11],0)),"")</f>
        <v>BMS, Integtity</v>
      </c>
      <c r="AC57" s="114" t="str">
        <f>IFERROR(INDEX(Расходка[Наименование расходного материала],MATCH(Расходка[[#This Row],[№]],Поиск_расходки[Индекс12],0)),"")</f>
        <v>BMS, Integtity</v>
      </c>
      <c r="AD57" s="114" t="str">
        <f>IFERROR(INDEX(Расходка[Наименование расходного материала],MATCH(Расходка[[#This Row],[№]],Поиск_расходки[Индекс13],0)),"")</f>
        <v>BMS, Integtity</v>
      </c>
      <c r="AF57" s="4" t="s">
        <v>6</v>
      </c>
      <c r="AG57" s="4" t="s">
        <v>447</v>
      </c>
    </row>
    <row r="58" spans="1:33">
      <c r="A58">
        <f>ROW(Расходка[[#This Row],[Тип расходного материала ]])-1</f>
        <v>57</v>
      </c>
      <c r="B58" t="s">
        <v>6</v>
      </c>
      <c r="C58" s="155" t="s">
        <v>343</v>
      </c>
      <c r="E58" s="115">
        <f>IF(ISNUMBER(SEARCH('Карта учёта'!$B$13,Расходка[[#This Row],[Наименование расходного материала]])),MAX($E$1:E57)+1,0)</f>
        <v>0</v>
      </c>
      <c r="F58" s="115">
        <f>IF(ISNUMBER(SEARCH('Карта учёта'!$B$14,Расходка[[#This Row],[Наименование расходного материала]])),MAX($F$1:F57)+1,0)</f>
        <v>0</v>
      </c>
      <c r="G58" s="115">
        <f>IF(ISNUMBER(SEARCH('Карта учёта'!$B$15,Расходка[[#This Row],[Наименование расходного материала]])),MAX($G$1:G57)+1,0)</f>
        <v>0</v>
      </c>
      <c r="H58" s="115">
        <f>IF(ISNUMBER(SEARCH('Карта учёта'!#REF!,Расходка[[#This Row],[Наименование расходного материала]])),MAX($H$1:H57)+1,0)</f>
        <v>0</v>
      </c>
      <c r="I58" s="115">
        <f>IF(ISNUMBER(SEARCH('Карта учёта'!$B$17,Расходка[[#This Row],[Наименование расходного материала]])),MAX($I$1:I57)+1,0)</f>
        <v>0</v>
      </c>
      <c r="J58" s="115">
        <f>IF(ISNUMBER(SEARCH('Карта учёта'!$B$18,Расходка[[#This Row],[Наименование расходного материала]])),MAX($J$1:J57)+1,0)</f>
        <v>57</v>
      </c>
      <c r="K58" s="115">
        <f>IF(ISNUMBER(SEARCH('Карта учёта'!$B$16,Расходка[[#This Row],[Наименование расходного материала]])),MAX($K$1:K57)+1,0)</f>
        <v>0</v>
      </c>
      <c r="L58" s="115">
        <f>IF(ISNUMBER(SEARCH('Карта учёта'!$B$20,Расходка[[#This Row],[Наименование расходного материала]])),MAX($L$1:L57)+1,0)</f>
        <v>57</v>
      </c>
      <c r="M58" s="115">
        <f>IF(ISNUMBER(SEARCH('Карта учёта'!$B$21,Расходка[[#This Row],[Наименование расходного материала]])),MAX($M$1:M57)+1,0)</f>
        <v>57</v>
      </c>
      <c r="N58" s="115">
        <f>IF(ISNUMBER(SEARCH('Карта учёта'!$B$22,Расходка[[#This Row],[Наименование расходного материала]])),MAX($N$1:N57)+1,0)</f>
        <v>57</v>
      </c>
      <c r="O58" s="115">
        <f>IF(ISNUMBER(SEARCH('Карта учёта'!$B$23,Расходка[[#This Row],[Наименование расходного материала]])),MAX($O$1:O57)+1,0)</f>
        <v>57</v>
      </c>
      <c r="P58" s="115">
        <f>IF(ISNUMBER(SEARCH('Карта учёта'!$B$24,Расходка[[#This Row],[Наименование расходного материала]])),MAX($P$1:P57)+1,0)</f>
        <v>57</v>
      </c>
      <c r="Q58" s="115">
        <f>IF(ISNUMBER(SEARCH('Карта учёта'!$B$25,Расходка[[#This Row],[Наименование расходного материала]])),MAX($Q$1:Q57)+1,0)</f>
        <v>57</v>
      </c>
      <c r="R58" s="114" t="str">
        <f>IFERROR(INDEX(Расходка[Наименование расходного материала],MATCH(Расходка[[#This Row],[№]],Поиск_расходки[Индекс1],0)),"")</f>
        <v/>
      </c>
      <c r="S58" s="114" t="str">
        <f>IFERROR(INDEX(Расходка[Наименование расходного материала],MATCH(Расходка[[#This Row],[№]],Поиск_расходки[Индекс2],0)),"")</f>
        <v/>
      </c>
      <c r="T58" s="114" t="str">
        <f>IFERROR(INDEX(Расходка[Наименование расходного материала],MATCH(Расходка[[#This Row],[№]],Поиск_расходки[Индекс3],0)),"")</f>
        <v/>
      </c>
      <c r="U58" s="114" t="str">
        <f>IFERROR(INDEX(Расходка[Наименование расходного материала],MATCH(Расходка[[#This Row],[№]],Поиск_расходки[Индекс4],0)),"")</f>
        <v/>
      </c>
      <c r="V58" s="114" t="str">
        <f>IFERROR(INDEX(Расходка[Наименование расходного материала],MATCH(Расходка[[#This Row],[№]],Поиск_расходки[Индекс5],0)),"")</f>
        <v/>
      </c>
      <c r="W58" s="114" t="str">
        <f>IFERROR(INDEX(Расходка[Наименование расходного материала],MATCH(Расходка[[#This Row],[№]],Поиск_расходки[Индекс6],0)),"")</f>
        <v>DES, Calipso</v>
      </c>
      <c r="X58" s="114" t="str">
        <f>IFERROR(INDEX(Расходка[Наименование расходного материала],MATCH(Расходка[[#This Row],[№]],Поиск_расходки[Индекс7],0)),"")</f>
        <v/>
      </c>
      <c r="Y58" s="114" t="str">
        <f>IFERROR(INDEX(Расходка[Наименование расходного материала],MATCH(Расходка[[#This Row],[№]],Поиск_расходки[Индекс8],0)),"")</f>
        <v>DES, Calipso</v>
      </c>
      <c r="Z58" s="114" t="str">
        <f>IFERROR(INDEX(Расходка[Наименование расходного материала],MATCH(Расходка[[#This Row],[№]],Поиск_расходки[Индекс9],0)),"")</f>
        <v>DES, Calipso</v>
      </c>
      <c r="AA58" s="114" t="str">
        <f>IFERROR(INDEX(Расходка[Наименование расходного материала],MATCH(Расходка[[#This Row],[№]],Поиск_расходки[Индекс10],0)),"")</f>
        <v>DES, Calipso</v>
      </c>
      <c r="AB58" s="114" t="str">
        <f>IFERROR(INDEX(Расходка[Наименование расходного материала],MATCH(Расходка[[#This Row],[№]],Поиск_расходки[Индекс11],0)),"")</f>
        <v>DES, Calipso</v>
      </c>
      <c r="AC58" s="114" t="str">
        <f>IFERROR(INDEX(Расходка[Наименование расходного материала],MATCH(Расходка[[#This Row],[№]],Поиск_расходки[Индекс12],0)),"")</f>
        <v>DES, Calipso</v>
      </c>
      <c r="AD58" s="114" t="str">
        <f>IFERROR(INDEX(Расходка[Наименование расходного материала],MATCH(Расходка[[#This Row],[№]],Поиск_расходки[Индекс13],0)),"")</f>
        <v>DES, Calipso</v>
      </c>
      <c r="AF58" s="4" t="s">
        <v>6</v>
      </c>
      <c r="AG58" s="4" t="s">
        <v>448</v>
      </c>
    </row>
    <row r="59" spans="1:33">
      <c r="A59">
        <f>ROW(Расходка[[#This Row],[Тип расходного материала ]])-1</f>
        <v>58</v>
      </c>
      <c r="B59" t="s">
        <v>6</v>
      </c>
      <c r="C59" s="213" t="s">
        <v>527</v>
      </c>
      <c r="E59" s="115">
        <f>IF(ISNUMBER(SEARCH('Карта учёта'!$B$13,Расходка[[#This Row],[Наименование расходного материала]])),MAX($E$1:E58)+1,0)</f>
        <v>0</v>
      </c>
      <c r="F59" s="115">
        <f>IF(ISNUMBER(SEARCH('Карта учёта'!$B$14,Расходка[[#This Row],[Наименование расходного материала]])),MAX($F$1:F58)+1,0)</f>
        <v>0</v>
      </c>
      <c r="G59" s="115">
        <f>IF(ISNUMBER(SEARCH('Карта учёта'!$B$15,Расходка[[#This Row],[Наименование расходного материала]])),MAX($G$1:G58)+1,0)</f>
        <v>0</v>
      </c>
      <c r="H59" s="115">
        <f>IF(ISNUMBER(SEARCH('Карта учёта'!#REF!,Расходка[[#This Row],[Наименование расходного материала]])),MAX($H$1:H58)+1,0)</f>
        <v>0</v>
      </c>
      <c r="I59" s="115">
        <f>IF(ISNUMBER(SEARCH('Карта учёта'!$B$17,Расходка[[#This Row],[Наименование расходного материала]])),MAX($I$1:I58)+1,0)</f>
        <v>0</v>
      </c>
      <c r="J59" s="115">
        <f>IF(ISNUMBER(SEARCH('Карта учёта'!$B$18,Расходка[[#This Row],[Наименование расходного материала]])),MAX($J$1:J58)+1,0)</f>
        <v>58</v>
      </c>
      <c r="K59" s="115">
        <f>IF(ISNUMBER(SEARCH('Карта учёта'!$B$16,Расходка[[#This Row],[Наименование расходного материала]])),MAX($K$1:K58)+1,0)</f>
        <v>0</v>
      </c>
      <c r="L59" s="115">
        <f>IF(ISNUMBER(SEARCH('Карта учёта'!$B$20,Расходка[[#This Row],[Наименование расходного материала]])),MAX($L$1:L58)+1,0)</f>
        <v>58</v>
      </c>
      <c r="M59" s="115">
        <f>IF(ISNUMBER(SEARCH('Карта учёта'!$B$21,Расходка[[#This Row],[Наименование расходного материала]])),MAX($M$1:M58)+1,0)</f>
        <v>58</v>
      </c>
      <c r="N59" s="115">
        <f>IF(ISNUMBER(SEARCH('Карта учёта'!$B$22,Расходка[[#This Row],[Наименование расходного материала]])),MAX($N$1:N58)+1,0)</f>
        <v>58</v>
      </c>
      <c r="O59" s="115">
        <f>IF(ISNUMBER(SEARCH('Карта учёта'!$B$23,Расходка[[#This Row],[Наименование расходного материала]])),MAX($O$1:O58)+1,0)</f>
        <v>58</v>
      </c>
      <c r="P59" s="115">
        <f>IF(ISNUMBER(SEARCH('Карта учёта'!$B$24,Расходка[[#This Row],[Наименование расходного материала]])),MAX($P$1:P58)+1,0)</f>
        <v>58</v>
      </c>
      <c r="Q59" s="115">
        <f>IF(ISNUMBER(SEARCH('Карта учёта'!$B$25,Расходка[[#This Row],[Наименование расходного материала]])),MAX($Q$1:Q58)+1,0)</f>
        <v>58</v>
      </c>
      <c r="R59" s="114" t="str">
        <f>IFERROR(INDEX(Расходка[Наименование расходного материала],MATCH(Расходка[[#This Row],[№]],Поиск_расходки[Индекс1],0)),"")</f>
        <v/>
      </c>
      <c r="S59" s="114" t="str">
        <f>IFERROR(INDEX(Расходка[Наименование расходного материала],MATCH(Расходка[[#This Row],[№]],Поиск_расходки[Индекс2],0)),"")</f>
        <v/>
      </c>
      <c r="T59" s="114" t="str">
        <f>IFERROR(INDEX(Расходка[Наименование расходного материала],MATCH(Расходка[[#This Row],[№]],Поиск_расходки[Индекс3],0)),"")</f>
        <v/>
      </c>
      <c r="U59" s="114" t="str">
        <f>IFERROR(INDEX(Расходка[Наименование расходного материала],MATCH(Расходка[[#This Row],[№]],Поиск_расходки[Индекс4],0)),"")</f>
        <v/>
      </c>
      <c r="V59" s="114" t="str">
        <f>IFERROR(INDEX(Расходка[Наименование расходного материала],MATCH(Расходка[[#This Row],[№]],Поиск_расходки[Индекс5],0)),"")</f>
        <v/>
      </c>
      <c r="W59" s="114" t="str">
        <f>IFERROR(INDEX(Расходка[Наименование расходного материала],MATCH(Расходка[[#This Row],[№]],Поиск_расходки[Индекс6],0)),"")</f>
        <v>DES, Metafor</v>
      </c>
      <c r="X59" s="114" t="str">
        <f>IFERROR(INDEX(Расходка[Наименование расходного материала],MATCH(Расходка[[#This Row],[№]],Поиск_расходки[Индекс7],0)),"")</f>
        <v/>
      </c>
      <c r="Y59" s="114" t="str">
        <f>IFERROR(INDEX(Расходка[Наименование расходного материала],MATCH(Расходка[[#This Row],[№]],Поиск_расходки[Индекс8],0)),"")</f>
        <v>DES, Metafor</v>
      </c>
      <c r="Z59" s="114" t="str">
        <f>IFERROR(INDEX(Расходка[Наименование расходного материала],MATCH(Расходка[[#This Row],[№]],Поиск_расходки[Индекс9],0)),"")</f>
        <v>DES, Metafor</v>
      </c>
      <c r="AA59" s="114" t="str">
        <f>IFERROR(INDEX(Расходка[Наименование расходного материала],MATCH(Расходка[[#This Row],[№]],Поиск_расходки[Индекс10],0)),"")</f>
        <v>DES, Metafor</v>
      </c>
      <c r="AB59" s="114" t="str">
        <f>IFERROR(INDEX(Расходка[Наименование расходного материала],MATCH(Расходка[[#This Row],[№]],Поиск_расходки[Индекс11],0)),"")</f>
        <v>DES, Metafor</v>
      </c>
      <c r="AC59" s="114" t="str">
        <f>IFERROR(INDEX(Расходка[Наименование расходного материала],MATCH(Расходка[[#This Row],[№]],Поиск_расходки[Индекс12],0)),"")</f>
        <v>DES, Metafor</v>
      </c>
      <c r="AD59" s="114" t="str">
        <f>IFERROR(INDEX(Расходка[Наименование расходного материала],MATCH(Расходка[[#This Row],[№]],Поиск_расходки[Индекс13],0)),"")</f>
        <v>DES, Metafor</v>
      </c>
      <c r="AF59" s="4" t="s">
        <v>6</v>
      </c>
      <c r="AG59" s="4" t="s">
        <v>449</v>
      </c>
    </row>
    <row r="60" spans="1:33">
      <c r="A60">
        <f>ROW(Расходка[[#This Row],[Тип расходного материала ]])-1</f>
        <v>59</v>
      </c>
      <c r="B60" t="s">
        <v>6</v>
      </c>
      <c r="C60" s="155" t="s">
        <v>342</v>
      </c>
      <c r="E60" s="115">
        <f>IF(ISNUMBER(SEARCH('Карта учёта'!$B$13,Расходка[[#This Row],[Наименование расходного материала]])),MAX($E$1:E59)+1,0)</f>
        <v>0</v>
      </c>
      <c r="F60" s="115">
        <f>IF(ISNUMBER(SEARCH('Карта учёта'!$B$14,Расходка[[#This Row],[Наименование расходного материала]])),MAX($F$1:F59)+1,0)</f>
        <v>0</v>
      </c>
      <c r="G60" s="115">
        <f>IF(ISNUMBER(SEARCH('Карта учёта'!$B$15,Расходка[[#This Row],[Наименование расходного материала]])),MAX($G$1:G59)+1,0)</f>
        <v>0</v>
      </c>
      <c r="H60" s="115">
        <f>IF(ISNUMBER(SEARCH('Карта учёта'!#REF!,Расходка[[#This Row],[Наименование расходного материала]])),MAX($H$1:H59)+1,0)</f>
        <v>0</v>
      </c>
      <c r="I60" s="115">
        <f>IF(ISNUMBER(SEARCH('Карта учёта'!$B$17,Расходка[[#This Row],[Наименование расходного материала]])),MAX($I$1:I59)+1,0)</f>
        <v>0</v>
      </c>
      <c r="J60" s="115">
        <f>IF(ISNUMBER(SEARCH('Карта учёта'!$B$18,Расходка[[#This Row],[Наименование расходного материала]])),MAX($J$1:J59)+1,0)</f>
        <v>59</v>
      </c>
      <c r="K60" s="115">
        <f>IF(ISNUMBER(SEARCH('Карта учёта'!$B$16,Расходка[[#This Row],[Наименование расходного материала]])),MAX($K$1:K59)+1,0)</f>
        <v>0</v>
      </c>
      <c r="L60" s="115">
        <f>IF(ISNUMBER(SEARCH('Карта учёта'!$B$20,Расходка[[#This Row],[Наименование расходного материала]])),MAX($L$1:L59)+1,0)</f>
        <v>59</v>
      </c>
      <c r="M60" s="115">
        <f>IF(ISNUMBER(SEARCH('Карта учёта'!$B$21,Расходка[[#This Row],[Наименование расходного материала]])),MAX($M$1:M59)+1,0)</f>
        <v>59</v>
      </c>
      <c r="N60" s="115">
        <f>IF(ISNUMBER(SEARCH('Карта учёта'!$B$22,Расходка[[#This Row],[Наименование расходного материала]])),MAX($N$1:N59)+1,0)</f>
        <v>59</v>
      </c>
      <c r="O60" s="115">
        <f>IF(ISNUMBER(SEARCH('Карта учёта'!$B$23,Расходка[[#This Row],[Наименование расходного материала]])),MAX($O$1:O59)+1,0)</f>
        <v>59</v>
      </c>
      <c r="P60" s="115">
        <f>IF(ISNUMBER(SEARCH('Карта учёта'!$B$24,Расходка[[#This Row],[Наименование расходного материала]])),MAX($P$1:P59)+1,0)</f>
        <v>59</v>
      </c>
      <c r="Q60" s="115">
        <f>IF(ISNUMBER(SEARCH('Карта учёта'!$B$25,Расходка[[#This Row],[Наименование расходного материала]])),MAX($Q$1:Q59)+1,0)</f>
        <v>59</v>
      </c>
      <c r="R60" s="114" t="str">
        <f>IFERROR(INDEX(Расходка[Наименование расходного материала],MATCH(Расходка[[#This Row],[№]],Поиск_расходки[Индекс1],0)),"")</f>
        <v/>
      </c>
      <c r="S60" s="114" t="str">
        <f>IFERROR(INDEX(Расходка[Наименование расходного материала],MATCH(Расходка[[#This Row],[№]],Поиск_расходки[Индекс2],0)),"")</f>
        <v/>
      </c>
      <c r="T60" s="114" t="str">
        <f>IFERROR(INDEX(Расходка[Наименование расходного материала],MATCH(Расходка[[#This Row],[№]],Поиск_расходки[Индекс3],0)),"")</f>
        <v/>
      </c>
      <c r="U60" s="114" t="str">
        <f>IFERROR(INDEX(Расходка[Наименование расходного материала],MATCH(Расходка[[#This Row],[№]],Поиск_расходки[Индекс4],0)),"")</f>
        <v/>
      </c>
      <c r="V60" s="114" t="str">
        <f>IFERROR(INDEX(Расходка[Наименование расходного материала],MATCH(Расходка[[#This Row],[№]],Поиск_расходки[Индекс5],0)),"")</f>
        <v/>
      </c>
      <c r="W60" s="114" t="str">
        <f>IFERROR(INDEX(Расходка[Наименование расходного материала],MATCH(Расходка[[#This Row],[№]],Поиск_расходки[Индекс6],0)),"")</f>
        <v>DES, NanoMed</v>
      </c>
      <c r="X60" s="114" t="str">
        <f>IFERROR(INDEX(Расходка[Наименование расходного материала],MATCH(Расходка[[#This Row],[№]],Поиск_расходки[Индекс7],0)),"")</f>
        <v/>
      </c>
      <c r="Y60" s="114" t="str">
        <f>IFERROR(INDEX(Расходка[Наименование расходного материала],MATCH(Расходка[[#This Row],[№]],Поиск_расходки[Индекс8],0)),"")</f>
        <v>DES, NanoMed</v>
      </c>
      <c r="Z60" s="114" t="str">
        <f>IFERROR(INDEX(Расходка[Наименование расходного материала],MATCH(Расходка[[#This Row],[№]],Поиск_расходки[Индекс9],0)),"")</f>
        <v>DES, NanoMed</v>
      </c>
      <c r="AA60" s="114" t="str">
        <f>IFERROR(INDEX(Расходка[Наименование расходного материала],MATCH(Расходка[[#This Row],[№]],Поиск_расходки[Индекс10],0)),"")</f>
        <v>DES, NanoMed</v>
      </c>
      <c r="AB60" s="114" t="str">
        <f>IFERROR(INDEX(Расходка[Наименование расходного материала],MATCH(Расходка[[#This Row],[№]],Поиск_расходки[Индекс11],0)),"")</f>
        <v>DES, NanoMed</v>
      </c>
      <c r="AC60" s="114" t="str">
        <f>IFERROR(INDEX(Расходка[Наименование расходного материала],MATCH(Расходка[[#This Row],[№]],Поиск_расходки[Индекс12],0)),"")</f>
        <v>DES, NanoMed</v>
      </c>
      <c r="AD60" s="114" t="str">
        <f>IFERROR(INDEX(Расходка[Наименование расходного материала],MATCH(Расходка[[#This Row],[№]],Поиск_расходки[Индекс13],0)),"")</f>
        <v>DES, NanoMed</v>
      </c>
      <c r="AF60" s="4" t="s">
        <v>6</v>
      </c>
      <c r="AG60" s="4" t="s">
        <v>450</v>
      </c>
    </row>
    <row r="61" spans="1:33">
      <c r="A61">
        <f>ROW(Расходка[[#This Row],[Тип расходного материала ]])-1</f>
        <v>60</v>
      </c>
      <c r="B61" t="s">
        <v>6</v>
      </c>
      <c r="C61" s="129" t="s">
        <v>321</v>
      </c>
      <c r="E61" s="115">
        <f>IF(ISNUMBER(SEARCH('Карта учёта'!$B$13,Расходка[[#This Row],[Наименование расходного материала]])),MAX($E$1:E60)+1,0)</f>
        <v>0</v>
      </c>
      <c r="F61" s="115">
        <f>IF(ISNUMBER(SEARCH('Карта учёта'!$B$14,Расходка[[#This Row],[Наименование расходного материала]])),MAX($F$1:F60)+1,0)</f>
        <v>0</v>
      </c>
      <c r="G61" s="115">
        <f>IF(ISNUMBER(SEARCH('Карта учёта'!$B$15,Расходка[[#This Row],[Наименование расходного материала]])),MAX($G$1:G60)+1,0)</f>
        <v>0</v>
      </c>
      <c r="H61" s="115">
        <f>IF(ISNUMBER(SEARCH('Карта учёта'!#REF!,Расходка[[#This Row],[Наименование расходного материала]])),MAX($H$1:H60)+1,0)</f>
        <v>0</v>
      </c>
      <c r="I61" s="115">
        <f>IF(ISNUMBER(SEARCH('Карта учёта'!$B$17,Расходка[[#This Row],[Наименование расходного материала]])),MAX($I$1:I60)+1,0)</f>
        <v>1</v>
      </c>
      <c r="J61" s="115">
        <f>IF(ISNUMBER(SEARCH('Карта учёта'!$B$18,Расходка[[#This Row],[Наименование расходного материала]])),MAX($J$1:J60)+1,0)</f>
        <v>60</v>
      </c>
      <c r="K61" s="115">
        <f>IF(ISNUMBER(SEARCH('Карта учёта'!$B$16,Расходка[[#This Row],[Наименование расходного материала]])),MAX($K$1:K60)+1,0)</f>
        <v>0</v>
      </c>
      <c r="L61" s="115">
        <f>IF(ISNUMBER(SEARCH('Карта учёта'!$B$20,Расходка[[#This Row],[Наименование расходного материала]])),MAX($L$1:L60)+1,0)</f>
        <v>60</v>
      </c>
      <c r="M61" s="115">
        <f>IF(ISNUMBER(SEARCH('Карта учёта'!$B$21,Расходка[[#This Row],[Наименование расходного материала]])),MAX($M$1:M60)+1,0)</f>
        <v>60</v>
      </c>
      <c r="N61" s="115">
        <f>IF(ISNUMBER(SEARCH('Карта учёта'!$B$22,Расходка[[#This Row],[Наименование расходного материала]])),MAX($N$1:N60)+1,0)</f>
        <v>60</v>
      </c>
      <c r="O61" s="115">
        <f>IF(ISNUMBER(SEARCH('Карта учёта'!$B$23,Расходка[[#This Row],[Наименование расходного материала]])),MAX($O$1:O60)+1,0)</f>
        <v>60</v>
      </c>
      <c r="P61" s="115">
        <f>IF(ISNUMBER(SEARCH('Карта учёта'!$B$24,Расходка[[#This Row],[Наименование расходного материала]])),MAX($P$1:P60)+1,0)</f>
        <v>60</v>
      </c>
      <c r="Q61" s="115">
        <f>IF(ISNUMBER(SEARCH('Карта учёта'!$B$25,Расходка[[#This Row],[Наименование расходного материала]])),MAX($Q$1:Q60)+1,0)</f>
        <v>60</v>
      </c>
      <c r="R61" s="114" t="str">
        <f>IFERROR(INDEX(Расходка[Наименование расходного материала],MATCH(Расходка[[#This Row],[№]],Поиск_расходки[Индекс1],0)),"")</f>
        <v/>
      </c>
      <c r="S61" s="114" t="str">
        <f>IFERROR(INDEX(Расходка[Наименование расходного материала],MATCH(Расходка[[#This Row],[№]],Поиск_расходки[Индекс2],0)),"")</f>
        <v/>
      </c>
      <c r="T61" s="114" t="str">
        <f>IFERROR(INDEX(Расходка[Наименование расходного материала],MATCH(Расходка[[#This Row],[№]],Поиск_расходки[Индекс3],0)),"")</f>
        <v/>
      </c>
      <c r="U61" s="114" t="str">
        <f>IFERROR(INDEX(Расходка[Наименование расходного материала],MATCH(Расходка[[#This Row],[№]],Поиск_расходки[Индекс4],0)),"")</f>
        <v/>
      </c>
      <c r="V61" s="114" t="str">
        <f>IFERROR(INDEX(Расходка[Наименование расходного материала],MATCH(Расходка[[#This Row],[№]],Поиск_расходки[Индекс5],0)),"")</f>
        <v/>
      </c>
      <c r="W61" s="114" t="str">
        <f>IFERROR(INDEX(Расходка[Наименование расходного материала],MATCH(Расходка[[#This Row],[№]],Поиск_расходки[Индекс6],0)),"")</f>
        <v>DES, Resolute Integtity</v>
      </c>
      <c r="X61" s="114" t="str">
        <f>IFERROR(INDEX(Расходка[Наименование расходного материала],MATCH(Расходка[[#This Row],[№]],Поиск_расходки[Индекс7],0)),"")</f>
        <v/>
      </c>
      <c r="Y61" s="114" t="str">
        <f>IFERROR(INDEX(Расходка[Наименование расходного материала],MATCH(Расходка[[#This Row],[№]],Поиск_расходки[Индекс8],0)),"")</f>
        <v>DES, Resolute Integtity</v>
      </c>
      <c r="Z61" s="114" t="str">
        <f>IFERROR(INDEX(Расходка[Наименование расходного материала],MATCH(Расходка[[#This Row],[№]],Поиск_расходки[Индекс9],0)),"")</f>
        <v>DES, Resolute Integtity</v>
      </c>
      <c r="AA61" s="114" t="str">
        <f>IFERROR(INDEX(Расходка[Наименование расходного материала],MATCH(Расходка[[#This Row],[№]],Поиск_расходки[Индекс10],0)),"")</f>
        <v>DES, Resolute Integtity</v>
      </c>
      <c r="AB61" s="114" t="str">
        <f>IFERROR(INDEX(Расходка[Наименование расходного материала],MATCH(Расходка[[#This Row],[№]],Поиск_расходки[Индекс11],0)),"")</f>
        <v>DES, Resolute Integtity</v>
      </c>
      <c r="AC61" s="114" t="str">
        <f>IFERROR(INDEX(Расходка[Наименование расходного материала],MATCH(Расходка[[#This Row],[№]],Поиск_расходки[Индекс12],0)),"")</f>
        <v>DES, Resolute Integtity</v>
      </c>
      <c r="AD61" s="114" t="str">
        <f>IFERROR(INDEX(Расходка[Наименование расходного материала],MATCH(Расходка[[#This Row],[№]],Поиск_расходки[Индекс13],0)),"")</f>
        <v>DES, Resolute Integtity</v>
      </c>
      <c r="AF61" s="4" t="s">
        <v>6</v>
      </c>
      <c r="AG61" s="4" t="s">
        <v>411</v>
      </c>
    </row>
    <row r="62" spans="1:33">
      <c r="A62">
        <f>ROW(Расходка[[#This Row],[Тип расходного материала ]])-1</f>
        <v>61</v>
      </c>
      <c r="B62" t="s">
        <v>6</v>
      </c>
      <c r="C62" t="s">
        <v>355</v>
      </c>
      <c r="E62" s="115">
        <f>IF(ISNUMBER(SEARCH('Карта учёта'!$B$13,Расходка[[#This Row],[Наименование расходного материала]])),MAX($E$1:E61)+1,0)</f>
        <v>0</v>
      </c>
      <c r="F62" s="115">
        <f>IF(ISNUMBER(SEARCH('Карта учёта'!$B$14,Расходка[[#This Row],[Наименование расходного материала]])),MAX($F$1:F61)+1,0)</f>
        <v>0</v>
      </c>
      <c r="G62" s="115">
        <f>IF(ISNUMBER(SEARCH('Карта учёта'!$B$15,Расходка[[#This Row],[Наименование расходного материала]])),MAX($G$1:G61)+1,0)</f>
        <v>0</v>
      </c>
      <c r="H62" s="115">
        <f>IF(ISNUMBER(SEARCH('Карта учёта'!#REF!,Расходка[[#This Row],[Наименование расходного материала]])),MAX($H$1:H61)+1,0)</f>
        <v>0</v>
      </c>
      <c r="I62" s="115">
        <f>IF(ISNUMBER(SEARCH('Карта учёта'!$B$17,Расходка[[#This Row],[Наименование расходного материала]])),MAX($I$1:I61)+1,0)</f>
        <v>0</v>
      </c>
      <c r="J62" s="115">
        <f>IF(ISNUMBER(SEARCH('Карта учёта'!$B$18,Расходка[[#This Row],[Наименование расходного материала]])),MAX($J$1:J61)+1,0)</f>
        <v>61</v>
      </c>
      <c r="K62" s="115">
        <f>IF(ISNUMBER(SEARCH('Карта учёта'!$B$16,Расходка[[#This Row],[Наименование расходного материала]])),MAX($K$1:K61)+1,0)</f>
        <v>0</v>
      </c>
      <c r="L62" s="115">
        <f>IF(ISNUMBER(SEARCH('Карта учёта'!$B$20,Расходка[[#This Row],[Наименование расходного материала]])),MAX($L$1:L61)+1,0)</f>
        <v>61</v>
      </c>
      <c r="M62" s="115">
        <f>IF(ISNUMBER(SEARCH('Карта учёта'!$B$21,Расходка[[#This Row],[Наименование расходного материала]])),MAX($M$1:M61)+1,0)</f>
        <v>61</v>
      </c>
      <c r="N62" s="115">
        <f>IF(ISNUMBER(SEARCH('Карта учёта'!$B$22,Расходка[[#This Row],[Наименование расходного материала]])),MAX($N$1:N61)+1,0)</f>
        <v>61</v>
      </c>
      <c r="O62" s="115">
        <f>IF(ISNUMBER(SEARCH('Карта учёта'!$B$23,Расходка[[#This Row],[Наименование расходного материала]])),MAX($O$1:O61)+1,0)</f>
        <v>61</v>
      </c>
      <c r="P62" s="115">
        <f>IF(ISNUMBER(SEARCH('Карта учёта'!$B$24,Расходка[[#This Row],[Наименование расходного материала]])),MAX($P$1:P61)+1,0)</f>
        <v>61</v>
      </c>
      <c r="Q62" s="115">
        <f>IF(ISNUMBER(SEARCH('Карта учёта'!$B$25,Расходка[[#This Row],[Наименование расходного материала]])),MAX($Q$1:Q61)+1,0)</f>
        <v>61</v>
      </c>
      <c r="R62" s="114" t="str">
        <f>IFERROR(INDEX(Расходка[Наименование расходного материала],MATCH(Расходка[[#This Row],[№]],Поиск_расходки[Индекс1],0)),"")</f>
        <v/>
      </c>
      <c r="S62" s="114" t="str">
        <f>IFERROR(INDEX(Расходка[Наименование расходного материала],MATCH(Расходка[[#This Row],[№]],Поиск_расходки[Индекс2],0)),"")</f>
        <v/>
      </c>
      <c r="T62" s="114" t="str">
        <f>IFERROR(INDEX(Расходка[Наименование расходного материала],MATCH(Расходка[[#This Row],[№]],Поиск_расходки[Индекс3],0)),"")</f>
        <v/>
      </c>
      <c r="U62" s="114" t="str">
        <f>IFERROR(INDEX(Расходка[Наименование расходного материала],MATCH(Расходка[[#This Row],[№]],Поиск_расходки[Индекс4],0)),"")</f>
        <v/>
      </c>
      <c r="V62" s="114" t="str">
        <f>IFERROR(INDEX(Расходка[Наименование расходного материала],MATCH(Расходка[[#This Row],[№]],Поиск_расходки[Индекс5],0)),"")</f>
        <v/>
      </c>
      <c r="W62" s="114" t="str">
        <f>IFERROR(INDEX(Расходка[Наименование расходного материала],MATCH(Расходка[[#This Row],[№]],Поиск_расходки[Индекс6],0)),"")</f>
        <v>DES, Yukon Chrome PC</v>
      </c>
      <c r="X62" s="114" t="str">
        <f>IFERROR(INDEX(Расходка[Наименование расходного материала],MATCH(Расходка[[#This Row],[№]],Поиск_расходки[Индекс7],0)),"")</f>
        <v/>
      </c>
      <c r="Y62" s="114" t="str">
        <f>IFERROR(INDEX(Расходка[Наименование расходного материала],MATCH(Расходка[[#This Row],[№]],Поиск_расходки[Индекс8],0)),"")</f>
        <v>DES, Yukon Chrome PC</v>
      </c>
      <c r="Z62" s="114" t="str">
        <f>IFERROR(INDEX(Расходка[Наименование расходного материала],MATCH(Расходка[[#This Row],[№]],Поиск_расходки[Индекс9],0)),"")</f>
        <v>DES, Yukon Chrome PC</v>
      </c>
      <c r="AA62" s="114" t="str">
        <f>IFERROR(INDEX(Расходка[Наименование расходного материала],MATCH(Расходка[[#This Row],[№]],Поиск_расходки[Индекс10],0)),"")</f>
        <v>DES, Yukon Chrome PC</v>
      </c>
      <c r="AB62" s="114" t="str">
        <f>IFERROR(INDEX(Расходка[Наименование расходного материала],MATCH(Расходка[[#This Row],[№]],Поиск_расходки[Индекс11],0)),"")</f>
        <v>DES, Yukon Chrome PC</v>
      </c>
      <c r="AC62" s="114" t="str">
        <f>IFERROR(INDEX(Расходка[Наименование расходного материала],MATCH(Расходка[[#This Row],[№]],Поиск_расходки[Индекс12],0)),"")</f>
        <v>DES, Yukon Chrome PC</v>
      </c>
      <c r="AD62" s="114" t="str">
        <f>IFERROR(INDEX(Расходка[Наименование расходного материала],MATCH(Расходка[[#This Row],[№]],Поиск_расходки[Индекс13],0)),"")</f>
        <v>DES, Yukon Chrome PC</v>
      </c>
      <c r="AF62" s="4" t="s">
        <v>6</v>
      </c>
      <c r="AG62" s="4" t="s">
        <v>451</v>
      </c>
    </row>
    <row r="63" spans="1:33">
      <c r="A63">
        <f>ROW(Расходка[[#This Row],[Тип расходного материала ]])-1</f>
        <v>62</v>
      </c>
      <c r="B63" t="s">
        <v>6</v>
      </c>
      <c r="C63" s="159" t="s">
        <v>382</v>
      </c>
      <c r="E63" s="115">
        <f>IF(ISNUMBER(SEARCH('Карта учёта'!$B$13,Расходка[[#This Row],[Наименование расходного материала]])),MAX($E$1:E62)+1,0)</f>
        <v>0</v>
      </c>
      <c r="F63" s="115">
        <f>IF(ISNUMBER(SEARCH('Карта учёта'!$B$14,Расходка[[#This Row],[Наименование расходного материала]])),MAX($F$1:F62)+1,0)</f>
        <v>0</v>
      </c>
      <c r="G63" s="115">
        <f>IF(ISNUMBER(SEARCH('Карта учёта'!$B$15,Расходка[[#This Row],[Наименование расходного материала]])),MAX($G$1:G62)+1,0)</f>
        <v>0</v>
      </c>
      <c r="H63" s="115">
        <f>IF(ISNUMBER(SEARCH('Карта учёта'!#REF!,Расходка[[#This Row],[Наименование расходного материала]])),MAX($H$1:H62)+1,0)</f>
        <v>0</v>
      </c>
      <c r="I63" s="115">
        <f>IF(ISNUMBER(SEARCH('Карта учёта'!$B$17,Расходка[[#This Row],[Наименование расходного материала]])),MAX($I$1:I62)+1,0)</f>
        <v>0</v>
      </c>
      <c r="J63" s="115">
        <f>IF(ISNUMBER(SEARCH('Карта учёта'!$B$18,Расходка[[#This Row],[Наименование расходного материала]])),MAX($J$1:J62)+1,0)</f>
        <v>62</v>
      </c>
      <c r="K63" s="115">
        <f>IF(ISNUMBER(SEARCH('Карта учёта'!$B$16,Расходка[[#This Row],[Наименование расходного материала]])),MAX($K$1:K62)+1,0)</f>
        <v>0</v>
      </c>
      <c r="L63" s="115">
        <f>IF(ISNUMBER(SEARCH('Карта учёта'!$B$20,Расходка[[#This Row],[Наименование расходного материала]])),MAX($L$1:L62)+1,0)</f>
        <v>62</v>
      </c>
      <c r="M63" s="115">
        <f>IF(ISNUMBER(SEARCH('Карта учёта'!$B$21,Расходка[[#This Row],[Наименование расходного материала]])),MAX($M$1:M62)+1,0)</f>
        <v>62</v>
      </c>
      <c r="N63" s="115">
        <f>IF(ISNUMBER(SEARCH('Карта учёта'!$B$22,Расходка[[#This Row],[Наименование расходного материала]])),MAX($N$1:N62)+1,0)</f>
        <v>62</v>
      </c>
      <c r="O63" s="115">
        <f>IF(ISNUMBER(SEARCH('Карта учёта'!$B$23,Расходка[[#This Row],[Наименование расходного материала]])),MAX($O$1:O62)+1,0)</f>
        <v>62</v>
      </c>
      <c r="P63" s="115">
        <f>IF(ISNUMBER(SEARCH('Карта учёта'!$B$24,Расходка[[#This Row],[Наименование расходного материала]])),MAX($P$1:P62)+1,0)</f>
        <v>62</v>
      </c>
      <c r="Q63" s="115">
        <f>IF(ISNUMBER(SEARCH('Карта учёта'!$B$25,Расходка[[#This Row],[Наименование расходного материала]])),MAX($Q$1:Q62)+1,0)</f>
        <v>62</v>
      </c>
      <c r="R63" s="114" t="str">
        <f>IFERROR(INDEX(Расходка[Наименование расходного материала],MATCH(Расходка[[#This Row],[№]],Поиск_расходки[Индекс1],0)),"")</f>
        <v/>
      </c>
      <c r="S63" s="114" t="str">
        <f>IFERROR(INDEX(Расходка[Наименование расходного материала],MATCH(Расходка[[#This Row],[№]],Поиск_расходки[Индекс2],0)),"")</f>
        <v/>
      </c>
      <c r="T63" s="114" t="str">
        <f>IFERROR(INDEX(Расходка[Наименование расходного материала],MATCH(Расходка[[#This Row],[№]],Поиск_расходки[Индекс3],0)),"")</f>
        <v/>
      </c>
      <c r="U63" s="114" t="str">
        <f>IFERROR(INDEX(Расходка[Наименование расходного материала],MATCH(Расходка[[#This Row],[№]],Поиск_расходки[Индекс4],0)),"")</f>
        <v/>
      </c>
      <c r="V63" s="114" t="str">
        <f>IFERROR(INDEX(Расходка[Наименование расходного материала],MATCH(Расходка[[#This Row],[№]],Поиск_расходки[Индекс5],0)),"")</f>
        <v/>
      </c>
      <c r="W63" s="114" t="str">
        <f>IFERROR(INDEX(Расходка[Наименование расходного материала],MATCH(Расходка[[#This Row],[№]],Поиск_расходки[Индекс6],0)),"")</f>
        <v>DES, Firehawk</v>
      </c>
      <c r="X63" s="114" t="str">
        <f>IFERROR(INDEX(Расходка[Наименование расходного материала],MATCH(Расходка[[#This Row],[№]],Поиск_расходки[Индекс7],0)),"")</f>
        <v/>
      </c>
      <c r="Y63" s="114" t="str">
        <f>IFERROR(INDEX(Расходка[Наименование расходного материала],MATCH(Расходка[[#This Row],[№]],Поиск_расходки[Индекс8],0)),"")</f>
        <v>DES, Firehawk</v>
      </c>
      <c r="Z63" s="114" t="str">
        <f>IFERROR(INDEX(Расходка[Наименование расходного материала],MATCH(Расходка[[#This Row],[№]],Поиск_расходки[Индекс9],0)),"")</f>
        <v>DES, Firehawk</v>
      </c>
      <c r="AA63" s="114" t="str">
        <f>IFERROR(INDEX(Расходка[Наименование расходного материала],MATCH(Расходка[[#This Row],[№]],Поиск_расходки[Индекс10],0)),"")</f>
        <v>DES, Firehawk</v>
      </c>
      <c r="AB63" s="114" t="str">
        <f>IFERROR(INDEX(Расходка[Наименование расходного материала],MATCH(Расходка[[#This Row],[№]],Поиск_расходки[Индекс11],0)),"")</f>
        <v>DES, Firehawk</v>
      </c>
      <c r="AC63" s="114" t="str">
        <f>IFERROR(INDEX(Расходка[Наименование расходного материала],MATCH(Расходка[[#This Row],[№]],Поиск_расходки[Индекс12],0)),"")</f>
        <v>DES, Firehawk</v>
      </c>
      <c r="AD63" s="114" t="str">
        <f>IFERROR(INDEX(Расходка[Наименование расходного материала],MATCH(Расходка[[#This Row],[№]],Поиск_расходки[Индекс13],0)),"")</f>
        <v>DES, Firehawk</v>
      </c>
      <c r="AF63" s="4" t="s">
        <v>6</v>
      </c>
      <c r="AG63" s="4" t="s">
        <v>452</v>
      </c>
    </row>
    <row r="64" spans="1:33">
      <c r="A64">
        <f>ROW(Расходка[[#This Row],[Тип расходного материала ]])-1</f>
        <v>63</v>
      </c>
      <c r="B64" t="s">
        <v>6</v>
      </c>
      <c r="C64" t="s">
        <v>381</v>
      </c>
      <c r="E64" s="115">
        <f>IF(ISNUMBER(SEARCH('Карта учёта'!$B$13,Расходка[[#This Row],[Наименование расходного материала]])),MAX($E$1:E63)+1,0)</f>
        <v>0</v>
      </c>
      <c r="F64" s="115">
        <f>IF(ISNUMBER(SEARCH('Карта учёта'!$B$14,Расходка[[#This Row],[Наименование расходного материала]])),MAX($F$1:F63)+1,0)</f>
        <v>0</v>
      </c>
      <c r="G64" s="115">
        <f>IF(ISNUMBER(SEARCH('Карта учёта'!$B$15,Расходка[[#This Row],[Наименование расходного материала]])),MAX($G$1:G63)+1,0)</f>
        <v>0</v>
      </c>
      <c r="H64" s="115">
        <f>IF(ISNUMBER(SEARCH('Карта учёта'!#REF!,Расходка[[#This Row],[Наименование расходного материала]])),MAX($H$1:H63)+1,0)</f>
        <v>0</v>
      </c>
      <c r="I64" s="115">
        <f>IF(ISNUMBER(SEARCH('Карта учёта'!$B$17,Расходка[[#This Row],[Наименование расходного материала]])),MAX($I$1:I63)+1,0)</f>
        <v>0</v>
      </c>
      <c r="J64" s="115">
        <f>IF(ISNUMBER(SEARCH('Карта учёта'!$B$18,Расходка[[#This Row],[Наименование расходного материала]])),MAX($J$1:J63)+1,0)</f>
        <v>63</v>
      </c>
      <c r="K64" s="115">
        <f>IF(ISNUMBER(SEARCH('Карта учёта'!$B$16,Расходка[[#This Row],[Наименование расходного материала]])),MAX($K$1:K63)+1,0)</f>
        <v>0</v>
      </c>
      <c r="L64" s="115">
        <f>IF(ISNUMBER(SEARCH('Карта учёта'!$B$20,Расходка[[#This Row],[Наименование расходного материала]])),MAX($L$1:L63)+1,0)</f>
        <v>63</v>
      </c>
      <c r="M64" s="115">
        <f>IF(ISNUMBER(SEARCH('Карта учёта'!$B$21,Расходка[[#This Row],[Наименование расходного материала]])),MAX($M$1:M63)+1,0)</f>
        <v>63</v>
      </c>
      <c r="N64" s="115">
        <f>IF(ISNUMBER(SEARCH('Карта учёта'!$B$22,Расходка[[#This Row],[Наименование расходного материала]])),MAX($N$1:N63)+1,0)</f>
        <v>63</v>
      </c>
      <c r="O64" s="115">
        <f>IF(ISNUMBER(SEARCH('Карта учёта'!$B$23,Расходка[[#This Row],[Наименование расходного материала]])),MAX($O$1:O63)+1,0)</f>
        <v>63</v>
      </c>
      <c r="P64" s="115">
        <f>IF(ISNUMBER(SEARCH('Карта учёта'!$B$24,Расходка[[#This Row],[Наименование расходного материала]])),MAX($P$1:P63)+1,0)</f>
        <v>63</v>
      </c>
      <c r="Q64" s="115">
        <f>IF(ISNUMBER(SEARCH('Карта учёта'!$B$25,Расходка[[#This Row],[Наименование расходного материала]])),MAX($Q$1:Q63)+1,0)</f>
        <v>63</v>
      </c>
      <c r="R64" s="114" t="str">
        <f>IFERROR(INDEX(Расходка[Наименование расходного материала],MATCH(Расходка[[#This Row],[№]],Поиск_расходки[Индекс1],0)),"")</f>
        <v/>
      </c>
      <c r="S64" s="114" t="str">
        <f>IFERROR(INDEX(Расходка[Наименование расходного материала],MATCH(Расходка[[#This Row],[№]],Поиск_расходки[Индекс2],0)),"")</f>
        <v/>
      </c>
      <c r="T64" s="114" t="str">
        <f>IFERROR(INDEX(Расходка[Наименование расходного материала],MATCH(Расходка[[#This Row],[№]],Поиск_расходки[Индекс3],0)),"")</f>
        <v/>
      </c>
      <c r="U64" s="114" t="str">
        <f>IFERROR(INDEX(Расходка[Наименование расходного материала],MATCH(Расходка[[#This Row],[№]],Поиск_расходки[Индекс4],0)),"")</f>
        <v/>
      </c>
      <c r="V64" s="114" t="str">
        <f>IFERROR(INDEX(Расходка[Наименование расходного материала],MATCH(Расходка[[#This Row],[№]],Поиск_расходки[Индекс5],0)),"")</f>
        <v/>
      </c>
      <c r="W64" s="114" t="str">
        <f>IFERROR(INDEX(Расходка[Наименование расходного материала],MATCH(Расходка[[#This Row],[№]],Поиск_расходки[Индекс6],0)),"")</f>
        <v>DES, Resolute Onyx</v>
      </c>
      <c r="X64" s="114" t="str">
        <f>IFERROR(INDEX(Расходка[Наименование расходного материала],MATCH(Расходка[[#This Row],[№]],Поиск_расходки[Индекс7],0)),"")</f>
        <v/>
      </c>
      <c r="Y64" s="114" t="str">
        <f>IFERROR(INDEX(Расходка[Наименование расходного материала],MATCH(Расходка[[#This Row],[№]],Поиск_расходки[Индекс8],0)),"")</f>
        <v>DES, Resolute Onyx</v>
      </c>
      <c r="Z64" s="114" t="str">
        <f>IFERROR(INDEX(Расходка[Наименование расходного материала],MATCH(Расходка[[#This Row],[№]],Поиск_расходки[Индекс9],0)),"")</f>
        <v>DES, Resolute Onyx</v>
      </c>
      <c r="AA64" s="114" t="str">
        <f>IFERROR(INDEX(Расходка[Наименование расходного материала],MATCH(Расходка[[#This Row],[№]],Поиск_расходки[Индекс10],0)),"")</f>
        <v>DES, Resolute Onyx</v>
      </c>
      <c r="AB64" s="114" t="str">
        <f>IFERROR(INDEX(Расходка[Наименование расходного материала],MATCH(Расходка[[#This Row],[№]],Поиск_расходки[Индекс11],0)),"")</f>
        <v>DES, Resolute Onyx</v>
      </c>
      <c r="AC64" s="114" t="str">
        <f>IFERROR(INDEX(Расходка[Наименование расходного материала],MATCH(Расходка[[#This Row],[№]],Поиск_расходки[Индекс12],0)),"")</f>
        <v>DES, Resolute Onyx</v>
      </c>
      <c r="AD64" s="114" t="str">
        <f>IFERROR(INDEX(Расходка[Наименование расходного материала],MATCH(Расходка[[#This Row],[№]],Поиск_расходки[Индекс13],0)),"")</f>
        <v>DES, Resolute Onyx</v>
      </c>
      <c r="AF64" s="4" t="s">
        <v>6</v>
      </c>
      <c r="AG64" s="4" t="s">
        <v>453</v>
      </c>
    </row>
    <row r="65" spans="1:33">
      <c r="A65">
        <f>ROW(Расходка[[#This Row],[Тип расходного материала ]])-1</f>
        <v>64</v>
      </c>
      <c r="B65" t="s">
        <v>6</v>
      </c>
      <c r="C65" t="s">
        <v>513</v>
      </c>
      <c r="E65" s="115">
        <f>IF(ISNUMBER(SEARCH('Карта учёта'!$B$13,Расходка[[#This Row],[Наименование расходного материала]])),MAX($E$1:E64)+1,0)</f>
        <v>0</v>
      </c>
      <c r="F65" s="115">
        <f>IF(ISNUMBER(SEARCH('Карта учёта'!$B$14,Расходка[[#This Row],[Наименование расходного материала]])),MAX($F$1:F64)+1,0)</f>
        <v>0</v>
      </c>
      <c r="G65" s="115">
        <f>IF(ISNUMBER(SEARCH('Карта учёта'!$B$15,Расходка[[#This Row],[Наименование расходного материала]])),MAX($G$1:G64)+1,0)</f>
        <v>0</v>
      </c>
      <c r="H65" s="115">
        <f>IF(ISNUMBER(SEARCH('Карта учёта'!#REF!,Расходка[[#This Row],[Наименование расходного материала]])),MAX($H$1:H64)+1,0)</f>
        <v>0</v>
      </c>
      <c r="I65" s="115">
        <f>IF(ISNUMBER(SEARCH('Карта учёта'!$B$17,Расходка[[#This Row],[Наименование расходного материала]])),MAX($I$1:I64)+1,0)</f>
        <v>0</v>
      </c>
      <c r="J65" s="115">
        <f>IF(ISNUMBER(SEARCH('Карта учёта'!$B$18,Расходка[[#This Row],[Наименование расходного материала]])),MAX($J$1:J64)+1,0)</f>
        <v>64</v>
      </c>
      <c r="K65" s="115">
        <f>IF(ISNUMBER(SEARCH('Карта учёта'!$B$16,Расходка[[#This Row],[Наименование расходного материала]])),MAX($K$1:K64)+1,0)</f>
        <v>0</v>
      </c>
      <c r="L65" s="115">
        <f>IF(ISNUMBER(SEARCH('Карта учёта'!$B$20,Расходка[[#This Row],[Наименование расходного материала]])),MAX($L$1:L64)+1,0)</f>
        <v>64</v>
      </c>
      <c r="M65" s="115">
        <f>IF(ISNUMBER(SEARCH('Карта учёта'!$B$21,Расходка[[#This Row],[Наименование расходного материала]])),MAX($M$1:M64)+1,0)</f>
        <v>64</v>
      </c>
      <c r="N65" s="115">
        <f>IF(ISNUMBER(SEARCH('Карта учёта'!$B$22,Расходка[[#This Row],[Наименование расходного материала]])),MAX($N$1:N64)+1,0)</f>
        <v>64</v>
      </c>
      <c r="O65" s="115">
        <f>IF(ISNUMBER(SEARCH('Карта учёта'!$B$23,Расходка[[#This Row],[Наименование расходного материала]])),MAX($O$1:O64)+1,0)</f>
        <v>64</v>
      </c>
      <c r="P65" s="115">
        <f>IF(ISNUMBER(SEARCH('Карта учёта'!$B$24,Расходка[[#This Row],[Наименование расходного материала]])),MAX($P$1:P64)+1,0)</f>
        <v>64</v>
      </c>
      <c r="Q65" s="115">
        <f>IF(ISNUMBER(SEARCH('Карта учёта'!$B$25,Расходка[[#This Row],[Наименование расходного материала]])),MAX($Q$1:Q64)+1,0)</f>
        <v>64</v>
      </c>
      <c r="R65" s="114" t="str">
        <f>IFERROR(INDEX(Расходка[Наименование расходного материала],MATCH(Расходка[[#This Row],[№]],Поиск_расходки[Индекс1],0)),"")</f>
        <v/>
      </c>
      <c r="S65" s="114" t="str">
        <f>IFERROR(INDEX(Расходка[Наименование расходного материала],MATCH(Расходка[[#This Row],[№]],Поиск_расходки[Индекс2],0)),"")</f>
        <v/>
      </c>
      <c r="T65" s="114" t="str">
        <f>IFERROR(INDEX(Расходка[Наименование расходного материала],MATCH(Расходка[[#This Row],[№]],Поиск_расходки[Индекс3],0)),"")</f>
        <v/>
      </c>
      <c r="U65" s="114" t="str">
        <f>IFERROR(INDEX(Расходка[Наименование расходного материала],MATCH(Расходка[[#This Row],[№]],Поиск_расходки[Индекс4],0)),"")</f>
        <v/>
      </c>
      <c r="V65" s="114" t="str">
        <f>IFERROR(INDEX(Расходка[Наименование расходного материала],MATCH(Расходка[[#This Row],[№]],Поиск_расходки[Индекс5],0)),"")</f>
        <v/>
      </c>
      <c r="W65" s="114" t="str">
        <f>IFERROR(INDEX(Расходка[Наименование расходного материала],MATCH(Расходка[[#This Row],[№]],Поиск_расходки[Индекс6],0)),"")</f>
        <v>DES, Калипсо</v>
      </c>
      <c r="X65" s="114" t="str">
        <f>IFERROR(INDEX(Расходка[Наименование расходного материала],MATCH(Расходка[[#This Row],[№]],Поиск_расходки[Индекс7],0)),"")</f>
        <v/>
      </c>
      <c r="Y65" s="114" t="str">
        <f>IFERROR(INDEX(Расходка[Наименование расходного материала],MATCH(Расходка[[#This Row],[№]],Поиск_расходки[Индекс8],0)),"")</f>
        <v>DES, Калипсо</v>
      </c>
      <c r="Z65" s="114" t="str">
        <f>IFERROR(INDEX(Расходка[Наименование расходного материала],MATCH(Расходка[[#This Row],[№]],Поиск_расходки[Индекс9],0)),"")</f>
        <v>DES, Калипсо</v>
      </c>
      <c r="AA65" s="114" t="str">
        <f>IFERROR(INDEX(Расходка[Наименование расходного материала],MATCH(Расходка[[#This Row],[№]],Поиск_расходки[Индекс10],0)),"")</f>
        <v>DES, Калипсо</v>
      </c>
      <c r="AB65" s="114" t="str">
        <f>IFERROR(INDEX(Расходка[Наименование расходного материала],MATCH(Расходка[[#This Row],[№]],Поиск_расходки[Индекс11],0)),"")</f>
        <v>DES, Калипсо</v>
      </c>
      <c r="AC65" s="114" t="str">
        <f>IFERROR(INDEX(Расходка[Наименование расходного материала],MATCH(Расходка[[#This Row],[№]],Поиск_расходки[Индекс12],0)),"")</f>
        <v>DES, Калипсо</v>
      </c>
      <c r="AD65" s="114" t="str">
        <f>IFERROR(INDEX(Расходка[Наименование расходного материала],MATCH(Расходка[[#This Row],[№]],Поиск_расходки[Индекс13],0)),"")</f>
        <v>DES, Калипсо</v>
      </c>
      <c r="AF65" s="4" t="s">
        <v>6</v>
      </c>
      <c r="AG65" s="4" t="s">
        <v>454</v>
      </c>
    </row>
    <row r="66" spans="1:33">
      <c r="A66">
        <f>ROW(Расходка[[#This Row],[Тип расходного материала ]])-1</f>
        <v>65</v>
      </c>
      <c r="B66" t="s">
        <v>6</v>
      </c>
      <c r="C66" t="s">
        <v>514</v>
      </c>
      <c r="E66" s="115">
        <f>IF(ISNUMBER(SEARCH('Карта учёта'!$B$13,Расходка[[#This Row],[Наименование расходного материала]])),MAX($E$1:E65)+1,0)</f>
        <v>0</v>
      </c>
      <c r="F66" s="115">
        <f>IF(ISNUMBER(SEARCH('Карта учёта'!$B$14,Расходка[[#This Row],[Наименование расходного материала]])),MAX($F$1:F65)+1,0)</f>
        <v>0</v>
      </c>
      <c r="G66" s="115">
        <f>IF(ISNUMBER(SEARCH('Карта учёта'!$B$15,Расходка[[#This Row],[Наименование расходного материала]])),MAX($G$1:G65)+1,0)</f>
        <v>0</v>
      </c>
      <c r="H66" s="115">
        <f>IF(ISNUMBER(SEARCH('Карта учёта'!#REF!,Расходка[[#This Row],[Наименование расходного материала]])),MAX($H$1:H65)+1,0)</f>
        <v>0</v>
      </c>
      <c r="I66" s="115">
        <f>IF(ISNUMBER(SEARCH('Карта учёта'!$B$17,Расходка[[#This Row],[Наименование расходного материала]])),MAX($I$1:I65)+1,0)</f>
        <v>0</v>
      </c>
      <c r="J66" s="115">
        <f>IF(ISNUMBER(SEARCH('Карта учёта'!$B$18,Расходка[[#This Row],[Наименование расходного материала]])),MAX($J$1:J65)+1,0)</f>
        <v>65</v>
      </c>
      <c r="K66" s="115">
        <f>IF(ISNUMBER(SEARCH('Карта учёта'!$B$16,Расходка[[#This Row],[Наименование расходного материала]])),MAX($K$1:K65)+1,0)</f>
        <v>0</v>
      </c>
      <c r="L66" s="115">
        <f>IF(ISNUMBER(SEARCH('Карта учёта'!$B$20,Расходка[[#This Row],[Наименование расходного материала]])),MAX($L$1:L65)+1,0)</f>
        <v>65</v>
      </c>
      <c r="M66" s="115">
        <f>IF(ISNUMBER(SEARCH('Карта учёта'!$B$21,Расходка[[#This Row],[Наименование расходного материала]])),MAX($M$1:M65)+1,0)</f>
        <v>65</v>
      </c>
      <c r="N66" s="115">
        <f>IF(ISNUMBER(SEARCH('Карта учёта'!$B$22,Расходка[[#This Row],[Наименование расходного материала]])),MAX($N$1:N65)+1,0)</f>
        <v>65</v>
      </c>
      <c r="O66" s="115">
        <f>IF(ISNUMBER(SEARCH('Карта учёта'!$B$23,Расходка[[#This Row],[Наименование расходного материала]])),MAX($O$1:O65)+1,0)</f>
        <v>65</v>
      </c>
      <c r="P66" s="115">
        <f>IF(ISNUMBER(SEARCH('Карта учёта'!$B$24,Расходка[[#This Row],[Наименование расходного материала]])),MAX($P$1:P65)+1,0)</f>
        <v>65</v>
      </c>
      <c r="Q66" s="115">
        <f>IF(ISNUMBER(SEARCH('Карта учёта'!$B$25,Расходка[[#This Row],[Наименование расходного материала]])),MAX($Q$1:Q65)+1,0)</f>
        <v>65</v>
      </c>
      <c r="R66" s="114" t="str">
        <f>IFERROR(INDEX(Расходка[Наименование расходного материала],MATCH(Расходка[[#This Row],[№]],Поиск_расходки[Индекс1],0)),"")</f>
        <v/>
      </c>
      <c r="S66" s="114" t="str">
        <f>IFERROR(INDEX(Расходка[Наименование расходного материала],MATCH(Расходка[[#This Row],[№]],Поиск_расходки[Индекс2],0)),"")</f>
        <v/>
      </c>
      <c r="T66" s="114" t="str">
        <f>IFERROR(INDEX(Расходка[Наименование расходного материала],MATCH(Расходка[[#This Row],[№]],Поиск_расходки[Индекс3],0)),"")</f>
        <v/>
      </c>
      <c r="U66" s="114" t="str">
        <f>IFERROR(INDEX(Расходка[Наименование расходного материала],MATCH(Расходка[[#This Row],[№]],Поиск_расходки[Индекс4],0)),"")</f>
        <v/>
      </c>
      <c r="V66" s="114" t="str">
        <f>IFERROR(INDEX(Расходка[Наименование расходного материала],MATCH(Расходка[[#This Row],[№]],Поиск_расходки[Индекс5],0)),"")</f>
        <v/>
      </c>
      <c r="W66" s="114" t="str">
        <f>IFERROR(INDEX(Расходка[Наименование расходного материала],MATCH(Расходка[[#This Row],[№]],Поиск_расходки[Индекс6],0)),"")</f>
        <v>Meril Evermine50™</v>
      </c>
      <c r="X66" s="114" t="str">
        <f>IFERROR(INDEX(Расходка[Наименование расходного материала],MATCH(Расходка[[#This Row],[№]],Поиск_расходки[Индекс7],0)),"")</f>
        <v/>
      </c>
      <c r="Y66" s="114" t="str">
        <f>IFERROR(INDEX(Расходка[Наименование расходного материала],MATCH(Расходка[[#This Row],[№]],Поиск_расходки[Индекс8],0)),"")</f>
        <v>Meril Evermine50™</v>
      </c>
      <c r="Z66" s="114" t="str">
        <f>IFERROR(INDEX(Расходка[Наименование расходного материала],MATCH(Расходка[[#This Row],[№]],Поиск_расходки[Индекс9],0)),"")</f>
        <v>Meril Evermine50™</v>
      </c>
      <c r="AA66" s="114" t="str">
        <f>IFERROR(INDEX(Расходка[Наименование расходного материала],MATCH(Расходка[[#This Row],[№]],Поиск_расходки[Индекс10],0)),"")</f>
        <v>Meril Evermine50™</v>
      </c>
      <c r="AB66" s="114" t="str">
        <f>IFERROR(INDEX(Расходка[Наименование расходного материала],MATCH(Расходка[[#This Row],[№]],Поиск_расходки[Индекс11],0)),"")</f>
        <v>Meril Evermine50™</v>
      </c>
      <c r="AC66" s="114" t="str">
        <f>IFERROR(INDEX(Расходка[Наименование расходного материала],MATCH(Расходка[[#This Row],[№]],Поиск_расходки[Индекс12],0)),"")</f>
        <v>Meril Evermine50™</v>
      </c>
      <c r="AD66" s="114" t="str">
        <f>IFERROR(INDEX(Расходка[Наименование расходного материала],MATCH(Расходка[[#This Row],[№]],Поиск_расходки[Индекс13],0)),"")</f>
        <v>Meril Evermine50™</v>
      </c>
      <c r="AF66" s="4" t="s">
        <v>6</v>
      </c>
      <c r="AG66" s="4" t="s">
        <v>455</v>
      </c>
    </row>
    <row r="67" spans="1:33">
      <c r="A67">
        <f>ROW(Расходка[[#This Row],[Тип расходного материала ]])-1</f>
        <v>66</v>
      </c>
      <c r="B67" t="s">
        <v>95</v>
      </c>
      <c r="C67" s="1" t="s">
        <v>322</v>
      </c>
      <c r="E67" s="195">
        <f>IF(ISNUMBER(SEARCH('Карта учёта'!$B$13,Расходка[[#This Row],[Наименование расходного материала]])),MAX($E$1:E66)+1,0)</f>
        <v>0</v>
      </c>
      <c r="F67" s="195">
        <f>IF(ISNUMBER(SEARCH('Карта учёта'!$B$14,Расходка[[#This Row],[Наименование расходного материала]])),MAX($F$1:F66)+1,0)</f>
        <v>0</v>
      </c>
      <c r="G67" s="195">
        <f>IF(ISNUMBER(SEARCH('Карта учёта'!$B$15,Расходка[[#This Row],[Наименование расходного материала]])),MAX($G$1:G66)+1,0)</f>
        <v>0</v>
      </c>
      <c r="H67" s="195">
        <f>IF(ISNUMBER(SEARCH('Карта учёта'!#REF!,Расходка[[#This Row],[Наименование расходного материала]])),MAX($H$1:H66)+1,0)</f>
        <v>0</v>
      </c>
      <c r="I67" s="195">
        <f>IF(ISNUMBER(SEARCH('Карта учёта'!$B$17,Расходка[[#This Row],[Наименование расходного материала]])),MAX($I$1:I66)+1,0)</f>
        <v>0</v>
      </c>
      <c r="J67" s="195">
        <f>IF(ISNUMBER(SEARCH('Карта учёта'!$B$18,Расходка[[#This Row],[Наименование расходного материала]])),MAX($J$1:J66)+1,0)</f>
        <v>66</v>
      </c>
      <c r="K67" s="195">
        <f>IF(ISNUMBER(SEARCH('Карта учёта'!$B$16,Расходка[[#This Row],[Наименование расходного материала]])),MAX($K$1:K66)+1,0)</f>
        <v>0</v>
      </c>
      <c r="L67" s="195">
        <f>IF(ISNUMBER(SEARCH('Карта учёта'!$B$20,Расходка[[#This Row],[Наименование расходного материала]])),MAX($L$1:L66)+1,0)</f>
        <v>66</v>
      </c>
      <c r="M67" s="195">
        <f>IF(ISNUMBER(SEARCH('Карта учёта'!$B$21,Расходка[[#This Row],[Наименование расходного материала]])),MAX($M$1:M66)+1,0)</f>
        <v>66</v>
      </c>
      <c r="N67" s="195">
        <f>IF(ISNUMBER(SEARCH('Карта учёта'!$B$22,Расходка[[#This Row],[Наименование расходного материала]])),MAX($N$1:N66)+1,0)</f>
        <v>66</v>
      </c>
      <c r="O67" s="195">
        <f>IF(ISNUMBER(SEARCH('Карта учёта'!$B$23,Расходка[[#This Row],[Наименование расходного материала]])),MAX($O$1:O66)+1,0)</f>
        <v>66</v>
      </c>
      <c r="P67" s="195">
        <f>IF(ISNUMBER(SEARCH('Карта учёта'!$B$24,Расходка[[#This Row],[Наименование расходного материала]])),MAX($P$1:P66)+1,0)</f>
        <v>66</v>
      </c>
      <c r="Q67" s="195">
        <f>IF(ISNUMBER(SEARCH('Карта учёта'!$B$25,Расходка[[#This Row],[Наименование расходного материала]])),MAX($Q$1:Q66)+1,0)</f>
        <v>66</v>
      </c>
      <c r="R67" s="196" t="str">
        <f>IFERROR(INDEX(Расходка[Наименование расходного материала],MATCH(Расходка[[#This Row],[№]],Поиск_расходки[Индекс1],0)),"")</f>
        <v/>
      </c>
      <c r="S67" s="196" t="str">
        <f>IFERROR(INDEX(Расходка[Наименование расходного материала],MATCH(Расходка[[#This Row],[№]],Поиск_расходки[Индекс2],0)),"")</f>
        <v/>
      </c>
      <c r="T67" s="196" t="str">
        <f>IFERROR(INDEX(Расходка[Наименование расходного материала],MATCH(Расходка[[#This Row],[№]],Поиск_расходки[Индекс3],0)),"")</f>
        <v/>
      </c>
      <c r="U67" s="196" t="str">
        <f>IFERROR(INDEX(Расходка[Наименование расходного материала],MATCH(Расходка[[#This Row],[№]],Поиск_расходки[Индекс4],0)),"")</f>
        <v/>
      </c>
      <c r="V67" s="196" t="str">
        <f>IFERROR(INDEX(Расходка[Наименование расходного материала],MATCH(Расходка[[#This Row],[№]],Поиск_расходки[Индекс5],0)),"")</f>
        <v/>
      </c>
      <c r="W67" s="196" t="str">
        <f>IFERROR(INDEX(Расходка[Наименование расходного материала],MATCH(Расходка[[#This Row],[№]],Поиск_расходки[Индекс6],0)),"")</f>
        <v>Guidezilla™ II 6F</v>
      </c>
      <c r="X67" s="196" t="str">
        <f>IFERROR(INDEX(Расходка[Наименование расходного материала],MATCH(Расходка[[#This Row],[№]],Поиск_расходки[Индекс7],0)),"")</f>
        <v/>
      </c>
      <c r="Y67" s="196" t="str">
        <f>IFERROR(INDEX(Расходка[Наименование расходного материала],MATCH(Расходка[[#This Row],[№]],Поиск_расходки[Индекс8],0)),"")</f>
        <v>Guidezilla™ II 6F</v>
      </c>
      <c r="Z67" s="196" t="str">
        <f>IFERROR(INDEX(Расходка[Наименование расходного материала],MATCH(Расходка[[#This Row],[№]],Поиск_расходки[Индекс9],0)),"")</f>
        <v>Guidezilla™ II 6F</v>
      </c>
      <c r="AA67" s="196" t="str">
        <f>IFERROR(INDEX(Расходка[Наименование расходного материала],MATCH(Расходка[[#This Row],[№]],Поиск_расходки[Индекс10],0)),"")</f>
        <v>Guidezilla™ II 6F</v>
      </c>
      <c r="AB67" s="196" t="str">
        <f>IFERROR(INDEX(Расходка[Наименование расходного материала],MATCH(Расходка[[#This Row],[№]],Поиск_расходки[Индекс11],0)),"")</f>
        <v>Guidezilla™ II 6F</v>
      </c>
      <c r="AC67" s="196" t="str">
        <f>IFERROR(INDEX(Расходка[Наименование расходного материала],MATCH(Расходка[[#This Row],[№]],Поиск_расходки[Индекс12],0)),"")</f>
        <v>Guidezilla™ II 6F</v>
      </c>
      <c r="AD67" s="196" t="str">
        <f>IFERROR(INDEX(Расходка[Наименование расходного материала],MATCH(Расходка[[#This Row],[№]],Поиск_расходки[Индекс13],0)),"")</f>
        <v>Guidezilla™ II 6F</v>
      </c>
      <c r="AF67" s="4" t="s">
        <v>6</v>
      </c>
      <c r="AG67" s="4" t="s">
        <v>456</v>
      </c>
    </row>
    <row r="68" spans="1:33">
      <c r="A68">
        <f>ROW(Расходка[[#This Row],[Тип расходного материала ]])-1</f>
        <v>67</v>
      </c>
      <c r="B68" t="s">
        <v>95</v>
      </c>
      <c r="C68" s="1" t="s">
        <v>341</v>
      </c>
      <c r="E68" s="195">
        <f>IF(ISNUMBER(SEARCH('Карта учёта'!$B$13,Расходка[[#This Row],[Наименование расходного материала]])),MAX($E$1:E67)+1,0)</f>
        <v>0</v>
      </c>
      <c r="F68" s="195">
        <f>IF(ISNUMBER(SEARCH('Карта учёта'!$B$14,Расходка[[#This Row],[Наименование расходного материала]])),MAX($F$1:F67)+1,0)</f>
        <v>0</v>
      </c>
      <c r="G68" s="195">
        <f>IF(ISNUMBER(SEARCH('Карта учёта'!$B$15,Расходка[[#This Row],[Наименование расходного материала]])),MAX($G$1:G67)+1,0)</f>
        <v>0</v>
      </c>
      <c r="H68" s="195">
        <f>IF(ISNUMBER(SEARCH('Карта учёта'!#REF!,Расходка[[#This Row],[Наименование расходного материала]])),MAX($H$1:H67)+1,0)</f>
        <v>0</v>
      </c>
      <c r="I68" s="195">
        <f>IF(ISNUMBER(SEARCH('Карта учёта'!$B$17,Расходка[[#This Row],[Наименование расходного материала]])),MAX($I$1:I67)+1,0)</f>
        <v>0</v>
      </c>
      <c r="J68" s="195">
        <f>IF(ISNUMBER(SEARCH('Карта учёта'!$B$18,Расходка[[#This Row],[Наименование расходного материала]])),MAX($J$1:J67)+1,0)</f>
        <v>67</v>
      </c>
      <c r="K68" s="195">
        <f>IF(ISNUMBER(SEARCH('Карта учёта'!$B$16,Расходка[[#This Row],[Наименование расходного материала]])),MAX($K$1:K67)+1,0)</f>
        <v>0</v>
      </c>
      <c r="L68" s="195">
        <f>IF(ISNUMBER(SEARCH('Карта учёта'!$B$20,Расходка[[#This Row],[Наименование расходного материала]])),MAX($L$1:L67)+1,0)</f>
        <v>67</v>
      </c>
      <c r="M68" s="195">
        <f>IF(ISNUMBER(SEARCH('Карта учёта'!$B$21,Расходка[[#This Row],[Наименование расходного материала]])),MAX($M$1:M67)+1,0)</f>
        <v>67</v>
      </c>
      <c r="N68" s="195">
        <f>IF(ISNUMBER(SEARCH('Карта учёта'!$B$22,Расходка[[#This Row],[Наименование расходного материала]])),MAX($N$1:N67)+1,0)</f>
        <v>67</v>
      </c>
      <c r="O68" s="195">
        <f>IF(ISNUMBER(SEARCH('Карта учёта'!$B$23,Расходка[[#This Row],[Наименование расходного материала]])),MAX($O$1:O67)+1,0)</f>
        <v>67</v>
      </c>
      <c r="P68" s="195">
        <f>IF(ISNUMBER(SEARCH('Карта учёта'!$B$24,Расходка[[#This Row],[Наименование расходного материала]])),MAX($P$1:P67)+1,0)</f>
        <v>67</v>
      </c>
      <c r="Q68" s="195">
        <f>IF(ISNUMBER(SEARCH('Карта учёта'!$B$25,Расходка[[#This Row],[Наименование расходного материала]])),MAX($Q$1:Q67)+1,0)</f>
        <v>67</v>
      </c>
      <c r="R68" s="196" t="str">
        <f>IFERROR(INDEX(Расходка[Наименование расходного материала],MATCH(Расходка[[#This Row],[№]],Поиск_расходки[Индекс1],0)),"")</f>
        <v/>
      </c>
      <c r="S68" s="196" t="str">
        <f>IFERROR(INDEX(Расходка[Наименование расходного материала],MATCH(Расходка[[#This Row],[№]],Поиск_расходки[Индекс2],0)),"")</f>
        <v/>
      </c>
      <c r="T68" s="196" t="str">
        <f>IFERROR(INDEX(Расходка[Наименование расходного материала],MATCH(Расходка[[#This Row],[№]],Поиск_расходки[Индекс3],0)),"")</f>
        <v/>
      </c>
      <c r="U68" s="196" t="str">
        <f>IFERROR(INDEX(Расходка[Наименование расходного материала],MATCH(Расходка[[#This Row],[№]],Поиск_расходки[Индекс4],0)),"")</f>
        <v/>
      </c>
      <c r="V68" s="196" t="str">
        <f>IFERROR(INDEX(Расходка[Наименование расходного материала],MATCH(Расходка[[#This Row],[№]],Поиск_расходки[Индекс5],0)),"")</f>
        <v/>
      </c>
      <c r="W68" s="196" t="str">
        <f>IFERROR(INDEX(Расходка[Наименование расходного материала],MATCH(Расходка[[#This Row],[№]],Поиск_расходки[Индекс6],0)),"")</f>
        <v>Telescope ™ II 6F</v>
      </c>
      <c r="X68" s="196" t="str">
        <f>IFERROR(INDEX(Расходка[Наименование расходного материала],MATCH(Расходка[[#This Row],[№]],Поиск_расходки[Индекс7],0)),"")</f>
        <v/>
      </c>
      <c r="Y68" s="196" t="str">
        <f>IFERROR(INDEX(Расходка[Наименование расходного материала],MATCH(Расходка[[#This Row],[№]],Поиск_расходки[Индекс8],0)),"")</f>
        <v>Telescope ™ II 6F</v>
      </c>
      <c r="Z68" s="196" t="str">
        <f>IFERROR(INDEX(Расходка[Наименование расходного материала],MATCH(Расходка[[#This Row],[№]],Поиск_расходки[Индекс9],0)),"")</f>
        <v>Telescope ™ II 6F</v>
      </c>
      <c r="AA68" s="196" t="str">
        <f>IFERROR(INDEX(Расходка[Наименование расходного материала],MATCH(Расходка[[#This Row],[№]],Поиск_расходки[Индекс10],0)),"")</f>
        <v>Telescope ™ II 6F</v>
      </c>
      <c r="AB68" s="196" t="str">
        <f>IFERROR(INDEX(Расходка[Наименование расходного материала],MATCH(Расходка[[#This Row],[№]],Поиск_расходки[Индекс11],0)),"")</f>
        <v>Telescope ™ II 6F</v>
      </c>
      <c r="AC68" s="196" t="str">
        <f>IFERROR(INDEX(Расходка[Наименование расходного материала],MATCH(Расходка[[#This Row],[№]],Поиск_расходки[Индекс12],0)),"")</f>
        <v>Telescope ™ II 6F</v>
      </c>
      <c r="AD68" s="196" t="str">
        <f>IFERROR(INDEX(Расходка[Наименование расходного материала],MATCH(Расходка[[#This Row],[№]],Поиск_расходки[Индекс13],0)),"")</f>
        <v>Telescope ™ II 6F</v>
      </c>
      <c r="AF68" s="4" t="s">
        <v>6</v>
      </c>
      <c r="AG68" s="4" t="s">
        <v>457</v>
      </c>
    </row>
    <row r="69" spans="1:33">
      <c r="A69">
        <f>ROW(Расходка[[#This Row],[Тип расходного материала ]])-1</f>
        <v>68</v>
      </c>
      <c r="B69" t="s">
        <v>4</v>
      </c>
      <c r="C69" t="s">
        <v>348</v>
      </c>
      <c r="E69" s="195">
        <f>IF(ISNUMBER(SEARCH('Карта учёта'!$B$13,Расходка[[#This Row],[Наименование расходного материала]])),MAX($E$1:E68)+1,0)</f>
        <v>0</v>
      </c>
      <c r="F69" s="195">
        <f>IF(ISNUMBER(SEARCH('Карта учёта'!$B$14,Расходка[[#This Row],[Наименование расходного материала]])),MAX($F$1:F68)+1,0)</f>
        <v>0</v>
      </c>
      <c r="G69" s="195">
        <f>IF(ISNUMBER(SEARCH('Карта учёта'!$B$15,Расходка[[#This Row],[Наименование расходного материала]])),MAX($G$1:G68)+1,0)</f>
        <v>0</v>
      </c>
      <c r="H69" s="195">
        <f>IF(ISNUMBER(SEARCH('Карта учёта'!#REF!,Расходка[[#This Row],[Наименование расходного материала]])),MAX($H$1:H68)+1,0)</f>
        <v>0</v>
      </c>
      <c r="I69" s="195">
        <f>IF(ISNUMBER(SEARCH('Карта учёта'!$B$17,Расходка[[#This Row],[Наименование расходного материала]])),MAX($I$1:I68)+1,0)</f>
        <v>0</v>
      </c>
      <c r="J69" s="195">
        <f>IF(ISNUMBER(SEARCH('Карта учёта'!$B$18,Расходка[[#This Row],[Наименование расходного материала]])),MAX($J$1:J68)+1,0)</f>
        <v>68</v>
      </c>
      <c r="K69" s="195">
        <f>IF(ISNUMBER(SEARCH('Карта учёта'!$B$16,Расходка[[#This Row],[Наименование расходного материала]])),MAX($K$1:K68)+1,0)</f>
        <v>0</v>
      </c>
      <c r="L69" s="195">
        <f>IF(ISNUMBER(SEARCH('Карта учёта'!$B$20,Расходка[[#This Row],[Наименование расходного материала]])),MAX($L$1:L68)+1,0)</f>
        <v>68</v>
      </c>
      <c r="M69" s="195">
        <f>IF(ISNUMBER(SEARCH('Карта учёта'!$B$21,Расходка[[#This Row],[Наименование расходного материала]])),MAX($M$1:M68)+1,0)</f>
        <v>68</v>
      </c>
      <c r="N69" s="195">
        <f>IF(ISNUMBER(SEARCH('Карта учёта'!$B$22,Расходка[[#This Row],[Наименование расходного материала]])),MAX($N$1:N68)+1,0)</f>
        <v>68</v>
      </c>
      <c r="O69" s="195">
        <f>IF(ISNUMBER(SEARCH('Карта учёта'!$B$23,Расходка[[#This Row],[Наименование расходного материала]])),MAX($O$1:O68)+1,0)</f>
        <v>68</v>
      </c>
      <c r="P69" s="195">
        <f>IF(ISNUMBER(SEARCH('Карта учёта'!$B$24,Расходка[[#This Row],[Наименование расходного материала]])),MAX($P$1:P68)+1,0)</f>
        <v>68</v>
      </c>
      <c r="Q69" s="195">
        <f>IF(ISNUMBER(SEARCH('Карта учёта'!$B$25,Расходка[[#This Row],[Наименование расходного материала]])),MAX($Q$1:Q68)+1,0)</f>
        <v>68</v>
      </c>
      <c r="R69" s="196" t="str">
        <f>IFERROR(INDEX(Расходка[Наименование расходного материала],MATCH(Расходка[[#This Row],[№]],Поиск_расходки[Индекс1],0)),"")</f>
        <v/>
      </c>
      <c r="S69" s="196" t="str">
        <f>IFERROR(INDEX(Расходка[Наименование расходного материала],MATCH(Расходка[[#This Row],[№]],Поиск_расходки[Индекс2],0)),"")</f>
        <v/>
      </c>
      <c r="T69" s="196" t="str">
        <f>IFERROR(INDEX(Расходка[Наименование расходного материала],MATCH(Расходка[[#This Row],[№]],Поиск_расходки[Индекс3],0)),"")</f>
        <v/>
      </c>
      <c r="U69" s="196" t="str">
        <f>IFERROR(INDEX(Расходка[Наименование расходного материала],MATCH(Расходка[[#This Row],[№]],Поиск_расходки[Индекс4],0)),"")</f>
        <v/>
      </c>
      <c r="V69" s="196" t="str">
        <f>IFERROR(INDEX(Расходка[Наименование расходного материала],MATCH(Расходка[[#This Row],[№]],Поиск_расходки[Индекс5],0)),"")</f>
        <v/>
      </c>
      <c r="W69" s="196" t="str">
        <f>IFERROR(INDEX(Расходка[Наименование расходного материала],MATCH(Расходка[[#This Row],[№]],Поиск_расходки[Индекс6],0)),"")</f>
        <v>Launcher 6F AL 1</v>
      </c>
      <c r="X69" s="196" t="str">
        <f>IFERROR(INDEX(Расходка[Наименование расходного материала],MATCH(Расходка[[#This Row],[№]],Поиск_расходки[Индекс7],0)),"")</f>
        <v/>
      </c>
      <c r="Y69" s="196" t="str">
        <f>IFERROR(INDEX(Расходка[Наименование расходного материала],MATCH(Расходка[[#This Row],[№]],Поиск_расходки[Индекс8],0)),"")</f>
        <v>Launcher 6F AL 1</v>
      </c>
      <c r="Z69" s="196" t="str">
        <f>IFERROR(INDEX(Расходка[Наименование расходного материала],MATCH(Расходка[[#This Row],[№]],Поиск_расходки[Индекс9],0)),"")</f>
        <v>Launcher 6F AL 1</v>
      </c>
      <c r="AA69" s="196" t="str">
        <f>IFERROR(INDEX(Расходка[Наименование расходного материала],MATCH(Расходка[[#This Row],[№]],Поиск_расходки[Индекс10],0)),"")</f>
        <v>Launcher 6F AL 1</v>
      </c>
      <c r="AB69" s="196" t="str">
        <f>IFERROR(INDEX(Расходка[Наименование расходного материала],MATCH(Расходка[[#This Row],[№]],Поиск_расходки[Индекс11],0)),"")</f>
        <v>Launcher 6F AL 1</v>
      </c>
      <c r="AC69" s="196" t="str">
        <f>IFERROR(INDEX(Расходка[Наименование расходного материала],MATCH(Расходка[[#This Row],[№]],Поиск_расходки[Индекс12],0)),"")</f>
        <v>Launcher 6F AL 1</v>
      </c>
      <c r="AD69" s="196" t="str">
        <f>IFERROR(INDEX(Расходка[Наименование расходного материала],MATCH(Расходка[[#This Row],[№]],Поиск_расходки[Индекс13],0)),"")</f>
        <v>Launcher 6F AL 1</v>
      </c>
      <c r="AF69" s="4" t="s">
        <v>6</v>
      </c>
      <c r="AG69" s="4" t="s">
        <v>458</v>
      </c>
    </row>
    <row r="70" spans="1:33">
      <c r="A70">
        <f>ROW(Расходка[[#This Row],[Тип расходного материала ]])-1</f>
        <v>69</v>
      </c>
      <c r="B70" t="s">
        <v>4</v>
      </c>
      <c r="C70" t="s">
        <v>349</v>
      </c>
      <c r="E70" s="195">
        <f>IF(ISNUMBER(SEARCH('Карта учёта'!$B$13,Расходка[[#This Row],[Наименование расходного материала]])),MAX($E$1:E69)+1,0)</f>
        <v>0</v>
      </c>
      <c r="F70" s="195">
        <f>IF(ISNUMBER(SEARCH('Карта учёта'!$B$14,Расходка[[#This Row],[Наименование расходного материала]])),MAX($F$1:F69)+1,0)</f>
        <v>0</v>
      </c>
      <c r="G70" s="195">
        <f>IF(ISNUMBER(SEARCH('Карта учёта'!$B$15,Расходка[[#This Row],[Наименование расходного материала]])),MAX($G$1:G69)+1,0)</f>
        <v>0</v>
      </c>
      <c r="H70" s="195">
        <f>IF(ISNUMBER(SEARCH('Карта учёта'!#REF!,Расходка[[#This Row],[Наименование расходного материала]])),MAX($H$1:H69)+1,0)</f>
        <v>0</v>
      </c>
      <c r="I70" s="195">
        <f>IF(ISNUMBER(SEARCH('Карта учёта'!$B$17,Расходка[[#This Row],[Наименование расходного материала]])),MAX($I$1:I69)+1,0)</f>
        <v>0</v>
      </c>
      <c r="J70" s="195">
        <f>IF(ISNUMBER(SEARCH('Карта учёта'!$B$18,Расходка[[#This Row],[Наименование расходного материала]])),MAX($J$1:J69)+1,0)</f>
        <v>69</v>
      </c>
      <c r="K70" s="195">
        <f>IF(ISNUMBER(SEARCH('Карта учёта'!$B$16,Расходка[[#This Row],[Наименование расходного материала]])),MAX($K$1:K69)+1,0)</f>
        <v>0</v>
      </c>
      <c r="L70" s="195">
        <f>IF(ISNUMBER(SEARCH('Карта учёта'!$B$20,Расходка[[#This Row],[Наименование расходного материала]])),MAX($L$1:L69)+1,0)</f>
        <v>69</v>
      </c>
      <c r="M70" s="195">
        <f>IF(ISNUMBER(SEARCH('Карта учёта'!$B$21,Расходка[[#This Row],[Наименование расходного материала]])),MAX($M$1:M69)+1,0)</f>
        <v>69</v>
      </c>
      <c r="N70" s="195">
        <f>IF(ISNUMBER(SEARCH('Карта учёта'!$B$22,Расходка[[#This Row],[Наименование расходного материала]])),MAX($N$1:N69)+1,0)</f>
        <v>69</v>
      </c>
      <c r="O70" s="195">
        <f>IF(ISNUMBER(SEARCH('Карта учёта'!$B$23,Расходка[[#This Row],[Наименование расходного материала]])),MAX($O$1:O69)+1,0)</f>
        <v>69</v>
      </c>
      <c r="P70" s="195">
        <f>IF(ISNUMBER(SEARCH('Карта учёта'!$B$24,Расходка[[#This Row],[Наименование расходного материала]])),MAX($P$1:P69)+1,0)</f>
        <v>69</v>
      </c>
      <c r="Q70" s="195">
        <f>IF(ISNUMBER(SEARCH('Карта учёта'!$B$25,Расходка[[#This Row],[Наименование расходного материала]])),MAX($Q$1:Q69)+1,0)</f>
        <v>69</v>
      </c>
      <c r="R70" s="196" t="str">
        <f>IFERROR(INDEX(Расходка[Наименование расходного материала],MATCH(Расходка[[#This Row],[№]],Поиск_расходки[Индекс1],0)),"")</f>
        <v/>
      </c>
      <c r="S70" s="196" t="str">
        <f>IFERROR(INDEX(Расходка[Наименование расходного материала],MATCH(Расходка[[#This Row],[№]],Поиск_расходки[Индекс2],0)),"")</f>
        <v/>
      </c>
      <c r="T70" s="196" t="str">
        <f>IFERROR(INDEX(Расходка[Наименование расходного материала],MATCH(Расходка[[#This Row],[№]],Поиск_расходки[Индекс3],0)),"")</f>
        <v/>
      </c>
      <c r="U70" s="196" t="str">
        <f>IFERROR(INDEX(Расходка[Наименование расходного материала],MATCH(Расходка[[#This Row],[№]],Поиск_расходки[Индекс4],0)),"")</f>
        <v/>
      </c>
      <c r="V70" s="196" t="str">
        <f>IFERROR(INDEX(Расходка[Наименование расходного материала],MATCH(Расходка[[#This Row],[№]],Поиск_расходки[Индекс5],0)),"")</f>
        <v/>
      </c>
      <c r="W70" s="196" t="str">
        <f>IFERROR(INDEX(Расходка[Наименование расходного материала],MATCH(Расходка[[#This Row],[№]],Поиск_расходки[Индекс6],0)),"")</f>
        <v>Launcher 6F AL 2</v>
      </c>
      <c r="X70" s="196" t="str">
        <f>IFERROR(INDEX(Расходка[Наименование расходного материала],MATCH(Расходка[[#This Row],[№]],Поиск_расходки[Индекс7],0)),"")</f>
        <v/>
      </c>
      <c r="Y70" s="196" t="str">
        <f>IFERROR(INDEX(Расходка[Наименование расходного материала],MATCH(Расходка[[#This Row],[№]],Поиск_расходки[Индекс8],0)),"")</f>
        <v>Launcher 6F AL 2</v>
      </c>
      <c r="Z70" s="196" t="str">
        <f>IFERROR(INDEX(Расходка[Наименование расходного материала],MATCH(Расходка[[#This Row],[№]],Поиск_расходки[Индекс9],0)),"")</f>
        <v>Launcher 6F AL 2</v>
      </c>
      <c r="AA70" s="196" t="str">
        <f>IFERROR(INDEX(Расходка[Наименование расходного материала],MATCH(Расходка[[#This Row],[№]],Поиск_расходки[Индекс10],0)),"")</f>
        <v>Launcher 6F AL 2</v>
      </c>
      <c r="AB70" s="196" t="str">
        <f>IFERROR(INDEX(Расходка[Наименование расходного материала],MATCH(Расходка[[#This Row],[№]],Поиск_расходки[Индекс11],0)),"")</f>
        <v>Launcher 6F AL 2</v>
      </c>
      <c r="AC70" s="196" t="str">
        <f>IFERROR(INDEX(Расходка[Наименование расходного материала],MATCH(Расходка[[#This Row],[№]],Поиск_расходки[Индекс12],0)),"")</f>
        <v>Launcher 6F AL 2</v>
      </c>
      <c r="AD70" s="196" t="str">
        <f>IFERROR(INDEX(Расходка[Наименование расходного материала],MATCH(Расходка[[#This Row],[№]],Поиск_расходки[Индекс13],0)),"")</f>
        <v>Launcher 6F AL 2</v>
      </c>
      <c r="AF70" s="4" t="s">
        <v>6</v>
      </c>
      <c r="AG70" s="4" t="s">
        <v>459</v>
      </c>
    </row>
    <row r="71" spans="1:33">
      <c r="A71">
        <f>ROW(Расходка[[#This Row],[Тип расходного материала ]])-1</f>
        <v>70</v>
      </c>
      <c r="B71" t="s">
        <v>4</v>
      </c>
      <c r="C71" t="s">
        <v>323</v>
      </c>
      <c r="E71" s="195">
        <f>IF(ISNUMBER(SEARCH('Карта учёта'!$B$13,Расходка[[#This Row],[Наименование расходного материала]])),MAX($E$1:E70)+1,0)</f>
        <v>0</v>
      </c>
      <c r="F71" s="195">
        <f>IF(ISNUMBER(SEARCH('Карта учёта'!$B$14,Расходка[[#This Row],[Наименование расходного материала]])),MAX($F$1:F70)+1,0)</f>
        <v>1</v>
      </c>
      <c r="G71" s="195">
        <f>IF(ISNUMBER(SEARCH('Карта учёта'!$B$15,Расходка[[#This Row],[Наименование расходного материала]])),MAX($G$1:G70)+1,0)</f>
        <v>0</v>
      </c>
      <c r="H71" s="195">
        <f>IF(ISNUMBER(SEARCH('Карта учёта'!#REF!,Расходка[[#This Row],[Наименование расходного материала]])),MAX($H$1:H70)+1,0)</f>
        <v>0</v>
      </c>
      <c r="I71" s="195">
        <f>IF(ISNUMBER(SEARCH('Карта учёта'!$B$17,Расходка[[#This Row],[Наименование расходного материала]])),MAX($I$1:I70)+1,0)</f>
        <v>0</v>
      </c>
      <c r="J71" s="195">
        <f>IF(ISNUMBER(SEARCH('Карта учёта'!$B$18,Расходка[[#This Row],[Наименование расходного материала]])),MAX($J$1:J70)+1,0)</f>
        <v>70</v>
      </c>
      <c r="K71" s="195">
        <f>IF(ISNUMBER(SEARCH('Карта учёта'!$B$16,Расходка[[#This Row],[Наименование расходного материала]])),MAX($K$1:K70)+1,0)</f>
        <v>0</v>
      </c>
      <c r="L71" s="195">
        <f>IF(ISNUMBER(SEARCH('Карта учёта'!$B$20,Расходка[[#This Row],[Наименование расходного материала]])),MAX($L$1:L70)+1,0)</f>
        <v>70</v>
      </c>
      <c r="M71" s="195">
        <f>IF(ISNUMBER(SEARCH('Карта учёта'!$B$21,Расходка[[#This Row],[Наименование расходного материала]])),MAX($M$1:M70)+1,0)</f>
        <v>70</v>
      </c>
      <c r="N71" s="195">
        <f>IF(ISNUMBER(SEARCH('Карта учёта'!$B$22,Расходка[[#This Row],[Наименование расходного материала]])),MAX($N$1:N70)+1,0)</f>
        <v>70</v>
      </c>
      <c r="O71" s="195">
        <f>IF(ISNUMBER(SEARCH('Карта учёта'!$B$23,Расходка[[#This Row],[Наименование расходного материала]])),MAX($O$1:O70)+1,0)</f>
        <v>70</v>
      </c>
      <c r="P71" s="195">
        <f>IF(ISNUMBER(SEARCH('Карта учёта'!$B$24,Расходка[[#This Row],[Наименование расходного материала]])),MAX($P$1:P70)+1,0)</f>
        <v>70</v>
      </c>
      <c r="Q71" s="195">
        <f>IF(ISNUMBER(SEARCH('Карта учёта'!$B$25,Расходка[[#This Row],[Наименование расходного материала]])),MAX($Q$1:Q70)+1,0)</f>
        <v>70</v>
      </c>
      <c r="R71" s="196" t="str">
        <f>IFERROR(INDEX(Расходка[Наименование расходного материала],MATCH(Расходка[[#This Row],[№]],Поиск_расходки[Индекс1],0)),"")</f>
        <v/>
      </c>
      <c r="S71" s="196" t="str">
        <f>IFERROR(INDEX(Расходка[Наименование расходного материала],MATCH(Расходка[[#This Row],[№]],Поиск_расходки[Индекс2],0)),"")</f>
        <v/>
      </c>
      <c r="T71" s="196" t="str">
        <f>IFERROR(INDEX(Расходка[Наименование расходного материала],MATCH(Расходка[[#This Row],[№]],Поиск_расходки[Индекс3],0)),"")</f>
        <v/>
      </c>
      <c r="U71" s="196" t="str">
        <f>IFERROR(INDEX(Расходка[Наименование расходного материала],MATCH(Расходка[[#This Row],[№]],Поиск_расходки[Индекс4],0)),"")</f>
        <v/>
      </c>
      <c r="V71" s="196" t="str">
        <f>IFERROR(INDEX(Расходка[Наименование расходного материала],MATCH(Расходка[[#This Row],[№]],Поиск_расходки[Индекс5],0)),"")</f>
        <v/>
      </c>
      <c r="W71" s="196" t="str">
        <f>IFERROR(INDEX(Расходка[Наименование расходного материала],MATCH(Расходка[[#This Row],[№]],Поиск_расходки[Индекс6],0)),"")</f>
        <v>Launcher 6F EBU 3.5</v>
      </c>
      <c r="X71" s="196" t="str">
        <f>IFERROR(INDEX(Расходка[Наименование расходного материала],MATCH(Расходка[[#This Row],[№]],Поиск_расходки[Индекс7],0)),"")</f>
        <v/>
      </c>
      <c r="Y71" s="196" t="str">
        <f>IFERROR(INDEX(Расходка[Наименование расходного материала],MATCH(Расходка[[#This Row],[№]],Поиск_расходки[Индекс8],0)),"")</f>
        <v>Launcher 6F EBU 3.5</v>
      </c>
      <c r="Z71" s="196" t="str">
        <f>IFERROR(INDEX(Расходка[Наименование расходного материала],MATCH(Расходка[[#This Row],[№]],Поиск_расходки[Индекс9],0)),"")</f>
        <v>Launcher 6F EBU 3.5</v>
      </c>
      <c r="AA71" s="196" t="str">
        <f>IFERROR(INDEX(Расходка[Наименование расходного материала],MATCH(Расходка[[#This Row],[№]],Поиск_расходки[Индекс10],0)),"")</f>
        <v>Launcher 6F EBU 3.5</v>
      </c>
      <c r="AB71" s="196" t="str">
        <f>IFERROR(INDEX(Расходка[Наименование расходного материала],MATCH(Расходка[[#This Row],[№]],Поиск_расходки[Индекс11],0)),"")</f>
        <v>Launcher 6F EBU 3.5</v>
      </c>
      <c r="AC71" s="196" t="str">
        <f>IFERROR(INDEX(Расходка[Наименование расходного материала],MATCH(Расходка[[#This Row],[№]],Поиск_расходки[Индекс12],0)),"")</f>
        <v>Launcher 6F EBU 3.5</v>
      </c>
      <c r="AD71" s="196" t="str">
        <f>IFERROR(INDEX(Расходка[Наименование расходного материала],MATCH(Расходка[[#This Row],[№]],Поиск_расходки[Индекс13],0)),"")</f>
        <v>Launcher 6F EBU 3.5</v>
      </c>
      <c r="AF71" s="4" t="s">
        <v>6</v>
      </c>
      <c r="AG71" s="4" t="s">
        <v>414</v>
      </c>
    </row>
    <row r="72" spans="1:33">
      <c r="A72">
        <f>ROW(Расходка[[#This Row],[Тип расходного материала ]])-1</f>
        <v>71</v>
      </c>
      <c r="B72" t="s">
        <v>4</v>
      </c>
      <c r="C72" t="s">
        <v>324</v>
      </c>
      <c r="E72" s="195">
        <f>IF(ISNUMBER(SEARCH('Карта учёта'!$B$13,Расходка[[#This Row],[Наименование расходного материала]])),MAX($E$1:E71)+1,0)</f>
        <v>0</v>
      </c>
      <c r="F72" s="195">
        <f>IF(ISNUMBER(SEARCH('Карта учёта'!$B$14,Расходка[[#This Row],[Наименование расходного материала]])),MAX($F$1:F71)+1,0)</f>
        <v>0</v>
      </c>
      <c r="G72" s="195">
        <f>IF(ISNUMBER(SEARCH('Карта учёта'!$B$15,Расходка[[#This Row],[Наименование расходного материала]])),MAX($G$1:G71)+1,0)</f>
        <v>0</v>
      </c>
      <c r="H72" s="195">
        <f>IF(ISNUMBER(SEARCH('Карта учёта'!#REF!,Расходка[[#This Row],[Наименование расходного материала]])),MAX($H$1:H71)+1,0)</f>
        <v>0</v>
      </c>
      <c r="I72" s="195">
        <f>IF(ISNUMBER(SEARCH('Карта учёта'!$B$17,Расходка[[#This Row],[Наименование расходного материала]])),MAX($I$1:I71)+1,0)</f>
        <v>0</v>
      </c>
      <c r="J72" s="195">
        <f>IF(ISNUMBER(SEARCH('Карта учёта'!$B$18,Расходка[[#This Row],[Наименование расходного материала]])),MAX($J$1:J71)+1,0)</f>
        <v>71</v>
      </c>
      <c r="K72" s="195">
        <f>IF(ISNUMBER(SEARCH('Карта учёта'!$B$16,Расходка[[#This Row],[Наименование расходного материала]])),MAX($K$1:K71)+1,0)</f>
        <v>0</v>
      </c>
      <c r="L72" s="195">
        <f>IF(ISNUMBER(SEARCH('Карта учёта'!$B$20,Расходка[[#This Row],[Наименование расходного материала]])),MAX($L$1:L71)+1,0)</f>
        <v>71</v>
      </c>
      <c r="M72" s="195">
        <f>IF(ISNUMBER(SEARCH('Карта учёта'!$B$21,Расходка[[#This Row],[Наименование расходного материала]])),MAX($M$1:M71)+1,0)</f>
        <v>71</v>
      </c>
      <c r="N72" s="195">
        <f>IF(ISNUMBER(SEARCH('Карта учёта'!$B$22,Расходка[[#This Row],[Наименование расходного материала]])),MAX($N$1:N71)+1,0)</f>
        <v>71</v>
      </c>
      <c r="O72" s="195">
        <f>IF(ISNUMBER(SEARCH('Карта учёта'!$B$23,Расходка[[#This Row],[Наименование расходного материала]])),MAX($O$1:O71)+1,0)</f>
        <v>71</v>
      </c>
      <c r="P72" s="195">
        <f>IF(ISNUMBER(SEARCH('Карта учёта'!$B$24,Расходка[[#This Row],[Наименование расходного материала]])),MAX($P$1:P71)+1,0)</f>
        <v>71</v>
      </c>
      <c r="Q72" s="195">
        <f>IF(ISNUMBER(SEARCH('Карта учёта'!$B$25,Расходка[[#This Row],[Наименование расходного материала]])),MAX($Q$1:Q71)+1,0)</f>
        <v>71</v>
      </c>
      <c r="R72" s="196" t="str">
        <f>IFERROR(INDEX(Расходка[Наименование расходного материала],MATCH(Расходка[[#This Row],[№]],Поиск_расходки[Индекс1],0)),"")</f>
        <v/>
      </c>
      <c r="S72" s="196" t="str">
        <f>IFERROR(INDEX(Расходка[Наименование расходного материала],MATCH(Расходка[[#This Row],[№]],Поиск_расходки[Индекс2],0)),"")</f>
        <v/>
      </c>
      <c r="T72" s="196" t="str">
        <f>IFERROR(INDEX(Расходка[Наименование расходного материала],MATCH(Расходка[[#This Row],[№]],Поиск_расходки[Индекс3],0)),"")</f>
        <v/>
      </c>
      <c r="U72" s="196" t="str">
        <f>IFERROR(INDEX(Расходка[Наименование расходного материала],MATCH(Расходка[[#This Row],[№]],Поиск_расходки[Индекс4],0)),"")</f>
        <v/>
      </c>
      <c r="V72" s="196" t="str">
        <f>IFERROR(INDEX(Расходка[Наименование расходного материала],MATCH(Расходка[[#This Row],[№]],Поиск_расходки[Индекс5],0)),"")</f>
        <v/>
      </c>
      <c r="W72" s="196" t="str">
        <f>IFERROR(INDEX(Расходка[Наименование расходного материала],MATCH(Расходка[[#This Row],[№]],Поиск_расходки[Индекс6],0)),"")</f>
        <v>Launcher 6F EBU 4.0</v>
      </c>
      <c r="X72" s="196" t="str">
        <f>IFERROR(INDEX(Расходка[Наименование расходного материала],MATCH(Расходка[[#This Row],[№]],Поиск_расходки[Индекс7],0)),"")</f>
        <v/>
      </c>
      <c r="Y72" s="196" t="str">
        <f>IFERROR(INDEX(Расходка[Наименование расходного материала],MATCH(Расходка[[#This Row],[№]],Поиск_расходки[Индекс8],0)),"")</f>
        <v>Launcher 6F EBU 4.0</v>
      </c>
      <c r="Z72" s="196" t="str">
        <f>IFERROR(INDEX(Расходка[Наименование расходного материала],MATCH(Расходка[[#This Row],[№]],Поиск_расходки[Индекс9],0)),"")</f>
        <v>Launcher 6F EBU 4.0</v>
      </c>
      <c r="AA72" s="196" t="str">
        <f>IFERROR(INDEX(Расходка[Наименование расходного материала],MATCH(Расходка[[#This Row],[№]],Поиск_расходки[Индекс10],0)),"")</f>
        <v>Launcher 6F EBU 4.0</v>
      </c>
      <c r="AB72" s="196" t="str">
        <f>IFERROR(INDEX(Расходка[Наименование расходного материала],MATCH(Расходка[[#This Row],[№]],Поиск_расходки[Индекс11],0)),"")</f>
        <v>Launcher 6F EBU 4.0</v>
      </c>
      <c r="AC72" s="196" t="str">
        <f>IFERROR(INDEX(Расходка[Наименование расходного материала],MATCH(Расходка[[#This Row],[№]],Поиск_расходки[Индекс12],0)),"")</f>
        <v>Launcher 6F EBU 4.0</v>
      </c>
      <c r="AD72" s="196" t="str">
        <f>IFERROR(INDEX(Расходка[Наименование расходного материала],MATCH(Расходка[[#This Row],[№]],Поиск_расходки[Индекс13],0)),"")</f>
        <v>Launcher 6F EBU 4.0</v>
      </c>
      <c r="AF72" s="4" t="s">
        <v>6</v>
      </c>
      <c r="AG72" s="4" t="s">
        <v>460</v>
      </c>
    </row>
    <row r="73" spans="1:33">
      <c r="A73">
        <f>ROW(Расходка[[#This Row],[Тип расходного материала ]])-1</f>
        <v>72</v>
      </c>
      <c r="B73" t="s">
        <v>4</v>
      </c>
      <c r="C73" t="s">
        <v>325</v>
      </c>
      <c r="E73" s="195">
        <f>IF(ISNUMBER(SEARCH('Карта учёта'!$B$13,Расходка[[#This Row],[Наименование расходного материала]])),MAX($E$1:E72)+1,0)</f>
        <v>0</v>
      </c>
      <c r="F73" s="195">
        <f>IF(ISNUMBER(SEARCH('Карта учёта'!$B$14,Расходка[[#This Row],[Наименование расходного материала]])),MAX($F$1:F72)+1,0)</f>
        <v>0</v>
      </c>
      <c r="G73" s="195">
        <f>IF(ISNUMBER(SEARCH('Карта учёта'!$B$15,Расходка[[#This Row],[Наименование расходного материала]])),MAX($G$1:G72)+1,0)</f>
        <v>0</v>
      </c>
      <c r="H73" s="195">
        <f>IF(ISNUMBER(SEARCH('Карта учёта'!#REF!,Расходка[[#This Row],[Наименование расходного материала]])),MAX($H$1:H72)+1,0)</f>
        <v>0</v>
      </c>
      <c r="I73" s="195">
        <f>IF(ISNUMBER(SEARCH('Карта учёта'!$B$17,Расходка[[#This Row],[Наименование расходного материала]])),MAX($I$1:I72)+1,0)</f>
        <v>0</v>
      </c>
      <c r="J73" s="195">
        <f>IF(ISNUMBER(SEARCH('Карта учёта'!$B$18,Расходка[[#This Row],[Наименование расходного материала]])),MAX($J$1:J72)+1,0)</f>
        <v>72</v>
      </c>
      <c r="K73" s="195">
        <f>IF(ISNUMBER(SEARCH('Карта учёта'!$B$16,Расходка[[#This Row],[Наименование расходного материала]])),MAX($K$1:K72)+1,0)</f>
        <v>0</v>
      </c>
      <c r="L73" s="195">
        <f>IF(ISNUMBER(SEARCH('Карта учёта'!$B$20,Расходка[[#This Row],[Наименование расходного материала]])),MAX($L$1:L72)+1,0)</f>
        <v>72</v>
      </c>
      <c r="M73" s="195">
        <f>IF(ISNUMBER(SEARCH('Карта учёта'!$B$21,Расходка[[#This Row],[Наименование расходного материала]])),MAX($M$1:M72)+1,0)</f>
        <v>72</v>
      </c>
      <c r="N73" s="195">
        <f>IF(ISNUMBER(SEARCH('Карта учёта'!$B$22,Расходка[[#This Row],[Наименование расходного материала]])),MAX($N$1:N72)+1,0)</f>
        <v>72</v>
      </c>
      <c r="O73" s="195">
        <f>IF(ISNUMBER(SEARCH('Карта учёта'!$B$23,Расходка[[#This Row],[Наименование расходного материала]])),MAX($O$1:O72)+1,0)</f>
        <v>72</v>
      </c>
      <c r="P73" s="195">
        <f>IF(ISNUMBER(SEARCH('Карта учёта'!$B$24,Расходка[[#This Row],[Наименование расходного материала]])),MAX($P$1:P72)+1,0)</f>
        <v>72</v>
      </c>
      <c r="Q73" s="195">
        <f>IF(ISNUMBER(SEARCH('Карта учёта'!$B$25,Расходка[[#This Row],[Наименование расходного материала]])),MAX($Q$1:Q72)+1,0)</f>
        <v>72</v>
      </c>
      <c r="R73" s="196" t="str">
        <f>IFERROR(INDEX(Расходка[Наименование расходного материала],MATCH(Расходка[[#This Row],[№]],Поиск_расходки[Индекс1],0)),"")</f>
        <v/>
      </c>
      <c r="S73" s="196" t="str">
        <f>IFERROR(INDEX(Расходка[Наименование расходного материала],MATCH(Расходка[[#This Row],[№]],Поиск_расходки[Индекс2],0)),"")</f>
        <v/>
      </c>
      <c r="T73" s="196" t="str">
        <f>IFERROR(INDEX(Расходка[Наименование расходного материала],MATCH(Расходка[[#This Row],[№]],Поиск_расходки[Индекс3],0)),"")</f>
        <v/>
      </c>
      <c r="U73" s="196" t="str">
        <f>IFERROR(INDEX(Расходка[Наименование расходного материала],MATCH(Расходка[[#This Row],[№]],Поиск_расходки[Индекс4],0)),"")</f>
        <v/>
      </c>
      <c r="V73" s="196" t="str">
        <f>IFERROR(INDEX(Расходка[Наименование расходного материала],MATCH(Расходка[[#This Row],[№]],Поиск_расходки[Индекс5],0)),"")</f>
        <v/>
      </c>
      <c r="W73" s="196" t="str">
        <f>IFERROR(INDEX(Расходка[Наименование расходного материала],MATCH(Расходка[[#This Row],[№]],Поиск_расходки[Индекс6],0)),"")</f>
        <v>Launcher 6F JL 3.5</v>
      </c>
      <c r="X73" s="196" t="str">
        <f>IFERROR(INDEX(Расходка[Наименование расходного материала],MATCH(Расходка[[#This Row],[№]],Поиск_расходки[Индекс7],0)),"")</f>
        <v/>
      </c>
      <c r="Y73" s="196" t="str">
        <f>IFERROR(INDEX(Расходка[Наименование расходного материала],MATCH(Расходка[[#This Row],[№]],Поиск_расходки[Индекс8],0)),"")</f>
        <v>Launcher 6F JL 3.5</v>
      </c>
      <c r="Z73" s="196" t="str">
        <f>IFERROR(INDEX(Расходка[Наименование расходного материала],MATCH(Расходка[[#This Row],[№]],Поиск_расходки[Индекс9],0)),"")</f>
        <v>Launcher 6F JL 3.5</v>
      </c>
      <c r="AA73" s="196" t="str">
        <f>IFERROR(INDEX(Расходка[Наименование расходного материала],MATCH(Расходка[[#This Row],[№]],Поиск_расходки[Индекс10],0)),"")</f>
        <v>Launcher 6F JL 3.5</v>
      </c>
      <c r="AB73" s="196" t="str">
        <f>IFERROR(INDEX(Расходка[Наименование расходного материала],MATCH(Расходка[[#This Row],[№]],Поиск_расходки[Индекс11],0)),"")</f>
        <v>Launcher 6F JL 3.5</v>
      </c>
      <c r="AC73" s="196" t="str">
        <f>IFERROR(INDEX(Расходка[Наименование расходного материала],MATCH(Расходка[[#This Row],[№]],Поиск_расходки[Индекс12],0)),"")</f>
        <v>Launcher 6F JL 3.5</v>
      </c>
      <c r="AD73" s="196" t="str">
        <f>IFERROR(INDEX(Расходка[Наименование расходного материала],MATCH(Расходка[[#This Row],[№]],Поиск_расходки[Индекс13],0)),"")</f>
        <v>Launcher 6F JL 3.5</v>
      </c>
      <c r="AF73" s="4" t="s">
        <v>6</v>
      </c>
      <c r="AG73" s="4" t="s">
        <v>415</v>
      </c>
    </row>
    <row r="74" spans="1:33">
      <c r="A74">
        <f>ROW(Расходка[[#This Row],[Тип расходного материала ]])-1</f>
        <v>73</v>
      </c>
      <c r="B74" t="s">
        <v>4</v>
      </c>
      <c r="C74" t="s">
        <v>326</v>
      </c>
      <c r="E74" s="195">
        <f>IF(ISNUMBER(SEARCH('Карта учёта'!$B$13,Расходка[[#This Row],[Наименование расходного материала]])),MAX($E$1:E73)+1,0)</f>
        <v>0</v>
      </c>
      <c r="F74" s="195">
        <f>IF(ISNUMBER(SEARCH('Карта учёта'!$B$14,Расходка[[#This Row],[Наименование расходного материала]])),MAX($F$1:F73)+1,0)</f>
        <v>0</v>
      </c>
      <c r="G74" s="195">
        <f>IF(ISNUMBER(SEARCH('Карта учёта'!$B$15,Расходка[[#This Row],[Наименование расходного материала]])),MAX($G$1:G73)+1,0)</f>
        <v>0</v>
      </c>
      <c r="H74" s="195">
        <f>IF(ISNUMBER(SEARCH('Карта учёта'!#REF!,Расходка[[#This Row],[Наименование расходного материала]])),MAX($H$1:H73)+1,0)</f>
        <v>0</v>
      </c>
      <c r="I74" s="195">
        <f>IF(ISNUMBER(SEARCH('Карта учёта'!$B$17,Расходка[[#This Row],[Наименование расходного материала]])),MAX($I$1:I73)+1,0)</f>
        <v>0</v>
      </c>
      <c r="J74" s="195">
        <f>IF(ISNUMBER(SEARCH('Карта учёта'!$B$18,Расходка[[#This Row],[Наименование расходного материала]])),MAX($J$1:J73)+1,0)</f>
        <v>73</v>
      </c>
      <c r="K74" s="195">
        <f>IF(ISNUMBER(SEARCH('Карта учёта'!$B$16,Расходка[[#This Row],[Наименование расходного материала]])),MAX($K$1:K73)+1,0)</f>
        <v>0</v>
      </c>
      <c r="L74" s="195">
        <f>IF(ISNUMBER(SEARCH('Карта учёта'!$B$20,Расходка[[#This Row],[Наименование расходного материала]])),MAX($L$1:L73)+1,0)</f>
        <v>73</v>
      </c>
      <c r="M74" s="195">
        <f>IF(ISNUMBER(SEARCH('Карта учёта'!$B$21,Расходка[[#This Row],[Наименование расходного материала]])),MAX($M$1:M73)+1,0)</f>
        <v>73</v>
      </c>
      <c r="N74" s="195">
        <f>IF(ISNUMBER(SEARCH('Карта учёта'!$B$22,Расходка[[#This Row],[Наименование расходного материала]])),MAX($N$1:N73)+1,0)</f>
        <v>73</v>
      </c>
      <c r="O74" s="195">
        <f>IF(ISNUMBER(SEARCH('Карта учёта'!$B$23,Расходка[[#This Row],[Наименование расходного материала]])),MAX($O$1:O73)+1,0)</f>
        <v>73</v>
      </c>
      <c r="P74" s="195">
        <f>IF(ISNUMBER(SEARCH('Карта учёта'!$B$24,Расходка[[#This Row],[Наименование расходного материала]])),MAX($P$1:P73)+1,0)</f>
        <v>73</v>
      </c>
      <c r="Q74" s="195">
        <f>IF(ISNUMBER(SEARCH('Карта учёта'!$B$25,Расходка[[#This Row],[Наименование расходного материала]])),MAX($Q$1:Q73)+1,0)</f>
        <v>73</v>
      </c>
      <c r="R74" s="196" t="str">
        <f>IFERROR(INDEX(Расходка[Наименование расходного материала],MATCH(Расходка[[#This Row],[№]],Поиск_расходки[Индекс1],0)),"")</f>
        <v/>
      </c>
      <c r="S74" s="196" t="str">
        <f>IFERROR(INDEX(Расходка[Наименование расходного материала],MATCH(Расходка[[#This Row],[№]],Поиск_расходки[Индекс2],0)),"")</f>
        <v/>
      </c>
      <c r="T74" s="196" t="str">
        <f>IFERROR(INDEX(Расходка[Наименование расходного материала],MATCH(Расходка[[#This Row],[№]],Поиск_расходки[Индекс3],0)),"")</f>
        <v/>
      </c>
      <c r="U74" s="196" t="str">
        <f>IFERROR(INDEX(Расходка[Наименование расходного материала],MATCH(Расходка[[#This Row],[№]],Поиск_расходки[Индекс4],0)),"")</f>
        <v/>
      </c>
      <c r="V74" s="196" t="str">
        <f>IFERROR(INDEX(Расходка[Наименование расходного материала],MATCH(Расходка[[#This Row],[№]],Поиск_расходки[Индекс5],0)),"")</f>
        <v/>
      </c>
      <c r="W74" s="196" t="str">
        <f>IFERROR(INDEX(Расходка[Наименование расходного материала],MATCH(Расходка[[#This Row],[№]],Поиск_расходки[Индекс6],0)),"")</f>
        <v>Launcher 6F JL 4.0</v>
      </c>
      <c r="X74" s="196" t="str">
        <f>IFERROR(INDEX(Расходка[Наименование расходного материала],MATCH(Расходка[[#This Row],[№]],Поиск_расходки[Индекс7],0)),"")</f>
        <v/>
      </c>
      <c r="Y74" s="196" t="str">
        <f>IFERROR(INDEX(Расходка[Наименование расходного материала],MATCH(Расходка[[#This Row],[№]],Поиск_расходки[Индекс8],0)),"")</f>
        <v>Launcher 6F JL 4.0</v>
      </c>
      <c r="Z74" s="196" t="str">
        <f>IFERROR(INDEX(Расходка[Наименование расходного материала],MATCH(Расходка[[#This Row],[№]],Поиск_расходки[Индекс9],0)),"")</f>
        <v>Launcher 6F JL 4.0</v>
      </c>
      <c r="AA74" s="196" t="str">
        <f>IFERROR(INDEX(Расходка[Наименование расходного материала],MATCH(Расходка[[#This Row],[№]],Поиск_расходки[Индекс10],0)),"")</f>
        <v>Launcher 6F JL 4.0</v>
      </c>
      <c r="AB74" s="196" t="str">
        <f>IFERROR(INDEX(Расходка[Наименование расходного материала],MATCH(Расходка[[#This Row],[№]],Поиск_расходки[Индекс11],0)),"")</f>
        <v>Launcher 6F JL 4.0</v>
      </c>
      <c r="AC74" s="196" t="str">
        <f>IFERROR(INDEX(Расходка[Наименование расходного материала],MATCH(Расходка[[#This Row],[№]],Поиск_расходки[Индекс12],0)),"")</f>
        <v>Launcher 6F JL 4.0</v>
      </c>
      <c r="AD74" s="196" t="str">
        <f>IFERROR(INDEX(Расходка[Наименование расходного материала],MATCH(Расходка[[#This Row],[№]],Поиск_расходки[Индекс13],0)),"")</f>
        <v>Launcher 6F JL 4.0</v>
      </c>
      <c r="AF74" s="4" t="s">
        <v>6</v>
      </c>
      <c r="AG74" s="4" t="s">
        <v>461</v>
      </c>
    </row>
    <row r="75" spans="1:33">
      <c r="A75">
        <f>ROW(Расходка[[#This Row],[Тип расходного материала ]])-1</f>
        <v>74</v>
      </c>
      <c r="B75" t="s">
        <v>4</v>
      </c>
      <c r="C75" t="s">
        <v>332</v>
      </c>
      <c r="E75" s="195">
        <f>IF(ISNUMBER(SEARCH('Карта учёта'!$B$13,Расходка[[#This Row],[Наименование расходного материала]])),MAX($E$1:E74)+1,0)</f>
        <v>0</v>
      </c>
      <c r="F75" s="195">
        <f>IF(ISNUMBER(SEARCH('Карта учёта'!$B$14,Расходка[[#This Row],[Наименование расходного материала]])),MAX($F$1:F74)+1,0)</f>
        <v>0</v>
      </c>
      <c r="G75" s="195">
        <f>IF(ISNUMBER(SEARCH('Карта учёта'!$B$15,Расходка[[#This Row],[Наименование расходного материала]])),MAX($G$1:G74)+1,0)</f>
        <v>0</v>
      </c>
      <c r="H75" s="195">
        <f>IF(ISNUMBER(SEARCH('Карта учёта'!#REF!,Расходка[[#This Row],[Наименование расходного материала]])),MAX($H$1:H74)+1,0)</f>
        <v>0</v>
      </c>
      <c r="I75" s="195">
        <f>IF(ISNUMBER(SEARCH('Карта учёта'!$B$17,Расходка[[#This Row],[Наименование расходного материала]])),MAX($I$1:I74)+1,0)</f>
        <v>0</v>
      </c>
      <c r="J75" s="195">
        <f>IF(ISNUMBER(SEARCH('Карта учёта'!$B$18,Расходка[[#This Row],[Наименование расходного материала]])),MAX($J$1:J74)+1,0)</f>
        <v>74</v>
      </c>
      <c r="K75" s="195">
        <f>IF(ISNUMBER(SEARCH('Карта учёта'!$B$16,Расходка[[#This Row],[Наименование расходного материала]])),MAX($K$1:K74)+1,0)</f>
        <v>0</v>
      </c>
      <c r="L75" s="195">
        <f>IF(ISNUMBER(SEARCH('Карта учёта'!$B$20,Расходка[[#This Row],[Наименование расходного материала]])),MAX($L$1:L74)+1,0)</f>
        <v>74</v>
      </c>
      <c r="M75" s="195">
        <f>IF(ISNUMBER(SEARCH('Карта учёта'!$B$21,Расходка[[#This Row],[Наименование расходного материала]])),MAX($M$1:M74)+1,0)</f>
        <v>74</v>
      </c>
      <c r="N75" s="195">
        <f>IF(ISNUMBER(SEARCH('Карта учёта'!$B$22,Расходка[[#This Row],[Наименование расходного материала]])),MAX($N$1:N74)+1,0)</f>
        <v>74</v>
      </c>
      <c r="O75" s="195">
        <f>IF(ISNUMBER(SEARCH('Карта учёта'!$B$23,Расходка[[#This Row],[Наименование расходного материала]])),MAX($O$1:O74)+1,0)</f>
        <v>74</v>
      </c>
      <c r="P75" s="195">
        <f>IF(ISNUMBER(SEARCH('Карта учёта'!$B$24,Расходка[[#This Row],[Наименование расходного материала]])),MAX($P$1:P74)+1,0)</f>
        <v>74</v>
      </c>
      <c r="Q75" s="195">
        <f>IF(ISNUMBER(SEARCH('Карта учёта'!$B$25,Расходка[[#This Row],[Наименование расходного материала]])),MAX($Q$1:Q74)+1,0)</f>
        <v>74</v>
      </c>
      <c r="R75" s="196" t="str">
        <f>IFERROR(INDEX(Расходка[Наименование расходного материала],MATCH(Расходка[[#This Row],[№]],Поиск_расходки[Индекс1],0)),"")</f>
        <v/>
      </c>
      <c r="S75" s="196" t="str">
        <f>IFERROR(INDEX(Расходка[Наименование расходного материала],MATCH(Расходка[[#This Row],[№]],Поиск_расходки[Индекс2],0)),"")</f>
        <v/>
      </c>
      <c r="T75" s="196" t="str">
        <f>IFERROR(INDEX(Расходка[Наименование расходного материала],MATCH(Расходка[[#This Row],[№]],Поиск_расходки[Индекс3],0)),"")</f>
        <v/>
      </c>
      <c r="U75" s="196" t="str">
        <f>IFERROR(INDEX(Расходка[Наименование расходного материала],MATCH(Расходка[[#This Row],[№]],Поиск_расходки[Индекс4],0)),"")</f>
        <v/>
      </c>
      <c r="V75" s="196" t="str">
        <f>IFERROR(INDEX(Расходка[Наименование расходного материала],MATCH(Расходка[[#This Row],[№]],Поиск_расходки[Индекс5],0)),"")</f>
        <v/>
      </c>
      <c r="W75" s="196" t="str">
        <f>IFERROR(INDEX(Расходка[Наименование расходного материала],MATCH(Расходка[[#This Row],[№]],Поиск_расходки[Индекс6],0)),"")</f>
        <v>Launcher 6F JL 4.5</v>
      </c>
      <c r="X75" s="196" t="str">
        <f>IFERROR(INDEX(Расходка[Наименование расходного материала],MATCH(Расходка[[#This Row],[№]],Поиск_расходки[Индекс7],0)),"")</f>
        <v/>
      </c>
      <c r="Y75" s="196" t="str">
        <f>IFERROR(INDEX(Расходка[Наименование расходного материала],MATCH(Расходка[[#This Row],[№]],Поиск_расходки[Индекс8],0)),"")</f>
        <v>Launcher 6F JL 4.5</v>
      </c>
      <c r="Z75" s="196" t="str">
        <f>IFERROR(INDEX(Расходка[Наименование расходного материала],MATCH(Расходка[[#This Row],[№]],Поиск_расходки[Индекс9],0)),"")</f>
        <v>Launcher 6F JL 4.5</v>
      </c>
      <c r="AA75" s="196" t="str">
        <f>IFERROR(INDEX(Расходка[Наименование расходного материала],MATCH(Расходка[[#This Row],[№]],Поиск_расходки[Индекс10],0)),"")</f>
        <v>Launcher 6F JL 4.5</v>
      </c>
      <c r="AB75" s="196" t="str">
        <f>IFERROR(INDEX(Расходка[Наименование расходного материала],MATCH(Расходка[[#This Row],[№]],Поиск_расходки[Индекс11],0)),"")</f>
        <v>Launcher 6F JL 4.5</v>
      </c>
      <c r="AC75" s="196" t="str">
        <f>IFERROR(INDEX(Расходка[Наименование расходного материала],MATCH(Расходка[[#This Row],[№]],Поиск_расходки[Индекс12],0)),"")</f>
        <v>Launcher 6F JL 4.5</v>
      </c>
      <c r="AD75" s="196" t="str">
        <f>IFERROR(INDEX(Расходка[Наименование расходного материала],MATCH(Расходка[[#This Row],[№]],Поиск_расходки[Индекс13],0)),"")</f>
        <v>Launcher 6F JL 4.5</v>
      </c>
      <c r="AF75" s="4" t="s">
        <v>6</v>
      </c>
      <c r="AG75" s="4" t="s">
        <v>462</v>
      </c>
    </row>
    <row r="76" spans="1:33">
      <c r="A76">
        <f>ROW(Расходка[[#This Row],[Тип расходного материала ]])-1</f>
        <v>75</v>
      </c>
      <c r="B76" t="s">
        <v>4</v>
      </c>
      <c r="C76" t="s">
        <v>327</v>
      </c>
      <c r="E76" s="195">
        <f>IF(ISNUMBER(SEARCH('Карта учёта'!$B$13,Расходка[[#This Row],[Наименование расходного материала]])),MAX($E$1:E75)+1,0)</f>
        <v>0</v>
      </c>
      <c r="F76" s="195">
        <f>IF(ISNUMBER(SEARCH('Карта учёта'!$B$14,Расходка[[#This Row],[Наименование расходного материала]])),MAX($F$1:F75)+1,0)</f>
        <v>0</v>
      </c>
      <c r="G76" s="195">
        <f>IF(ISNUMBER(SEARCH('Карта учёта'!$B$15,Расходка[[#This Row],[Наименование расходного материала]])),MAX($G$1:G75)+1,0)</f>
        <v>0</v>
      </c>
      <c r="H76" s="195">
        <f>IF(ISNUMBER(SEARCH('Карта учёта'!#REF!,Расходка[[#This Row],[Наименование расходного материала]])),MAX($H$1:H75)+1,0)</f>
        <v>0</v>
      </c>
      <c r="I76" s="195">
        <f>IF(ISNUMBER(SEARCH('Карта учёта'!$B$17,Расходка[[#This Row],[Наименование расходного материала]])),MAX($I$1:I75)+1,0)</f>
        <v>0</v>
      </c>
      <c r="J76" s="195">
        <f>IF(ISNUMBER(SEARCH('Карта учёта'!$B$18,Расходка[[#This Row],[Наименование расходного материала]])),MAX($J$1:J75)+1,0)</f>
        <v>75</v>
      </c>
      <c r="K76" s="195">
        <f>IF(ISNUMBER(SEARCH('Карта учёта'!$B$16,Расходка[[#This Row],[Наименование расходного материала]])),MAX($K$1:K75)+1,0)</f>
        <v>0</v>
      </c>
      <c r="L76" s="195">
        <f>IF(ISNUMBER(SEARCH('Карта учёта'!$B$20,Расходка[[#This Row],[Наименование расходного материала]])),MAX($L$1:L75)+1,0)</f>
        <v>75</v>
      </c>
      <c r="M76" s="195">
        <f>IF(ISNUMBER(SEARCH('Карта учёта'!$B$21,Расходка[[#This Row],[Наименование расходного материала]])),MAX($M$1:M75)+1,0)</f>
        <v>75</v>
      </c>
      <c r="N76" s="195">
        <f>IF(ISNUMBER(SEARCH('Карта учёта'!$B$22,Расходка[[#This Row],[Наименование расходного материала]])),MAX($N$1:N75)+1,0)</f>
        <v>75</v>
      </c>
      <c r="O76" s="195">
        <f>IF(ISNUMBER(SEARCH('Карта учёта'!$B$23,Расходка[[#This Row],[Наименование расходного материала]])),MAX($O$1:O75)+1,0)</f>
        <v>75</v>
      </c>
      <c r="P76" s="195">
        <f>IF(ISNUMBER(SEARCH('Карта учёта'!$B$24,Расходка[[#This Row],[Наименование расходного материала]])),MAX($P$1:P75)+1,0)</f>
        <v>75</v>
      </c>
      <c r="Q76" s="195">
        <f>IF(ISNUMBER(SEARCH('Карта учёта'!$B$25,Расходка[[#This Row],[Наименование расходного материала]])),MAX($Q$1:Q75)+1,0)</f>
        <v>75</v>
      </c>
      <c r="R76" s="196" t="str">
        <f>IFERROR(INDEX(Расходка[Наименование расходного материала],MATCH(Расходка[[#This Row],[№]],Поиск_расходки[Индекс1],0)),"")</f>
        <v/>
      </c>
      <c r="S76" s="196" t="str">
        <f>IFERROR(INDEX(Расходка[Наименование расходного материала],MATCH(Расходка[[#This Row],[№]],Поиск_расходки[Индекс2],0)),"")</f>
        <v/>
      </c>
      <c r="T76" s="196" t="str">
        <f>IFERROR(INDEX(Расходка[Наименование расходного материала],MATCH(Расходка[[#This Row],[№]],Поиск_расходки[Индекс3],0)),"")</f>
        <v/>
      </c>
      <c r="U76" s="196" t="str">
        <f>IFERROR(INDEX(Расходка[Наименование расходного материала],MATCH(Расходка[[#This Row],[№]],Поиск_расходки[Индекс4],0)),"")</f>
        <v/>
      </c>
      <c r="V76" s="196" t="str">
        <f>IFERROR(INDEX(Расходка[Наименование расходного материала],MATCH(Расходка[[#This Row],[№]],Поиск_расходки[Индекс5],0)),"")</f>
        <v/>
      </c>
      <c r="W76" s="196" t="str">
        <f>IFERROR(INDEX(Расходка[Наименование расходного материала],MATCH(Расходка[[#This Row],[№]],Поиск_расходки[Индекс6],0)),"")</f>
        <v>Launcher 6F JR 3.5</v>
      </c>
      <c r="X76" s="196" t="str">
        <f>IFERROR(INDEX(Расходка[Наименование расходного материала],MATCH(Расходка[[#This Row],[№]],Поиск_расходки[Индекс7],0)),"")</f>
        <v/>
      </c>
      <c r="Y76" s="196" t="str">
        <f>IFERROR(INDEX(Расходка[Наименование расходного материала],MATCH(Расходка[[#This Row],[№]],Поиск_расходки[Индекс8],0)),"")</f>
        <v>Launcher 6F JR 3.5</v>
      </c>
      <c r="Z76" s="196" t="str">
        <f>IFERROR(INDEX(Расходка[Наименование расходного материала],MATCH(Расходка[[#This Row],[№]],Поиск_расходки[Индекс9],0)),"")</f>
        <v>Launcher 6F JR 3.5</v>
      </c>
      <c r="AA76" s="196" t="str">
        <f>IFERROR(INDEX(Расходка[Наименование расходного материала],MATCH(Расходка[[#This Row],[№]],Поиск_расходки[Индекс10],0)),"")</f>
        <v>Launcher 6F JR 3.5</v>
      </c>
      <c r="AB76" s="196" t="str">
        <f>IFERROR(INDEX(Расходка[Наименование расходного материала],MATCH(Расходка[[#This Row],[№]],Поиск_расходки[Индекс11],0)),"")</f>
        <v>Launcher 6F JR 3.5</v>
      </c>
      <c r="AC76" s="196" t="str">
        <f>IFERROR(INDEX(Расходка[Наименование расходного материала],MATCH(Расходка[[#This Row],[№]],Поиск_расходки[Индекс12],0)),"")</f>
        <v>Launcher 6F JR 3.5</v>
      </c>
      <c r="AD76" s="196" t="str">
        <f>IFERROR(INDEX(Расходка[Наименование расходного материала],MATCH(Расходка[[#This Row],[№]],Поиск_расходки[Индекс13],0)),"")</f>
        <v>Launcher 6F JR 3.5</v>
      </c>
      <c r="AF76" s="4" t="s">
        <v>6</v>
      </c>
      <c r="AG76" s="4" t="s">
        <v>463</v>
      </c>
    </row>
    <row r="77" spans="1:33">
      <c r="A77">
        <f>ROW(Расходка[[#This Row],[Тип расходного материала ]])-1</f>
        <v>76</v>
      </c>
      <c r="B77" t="s">
        <v>4</v>
      </c>
      <c r="C77" t="s">
        <v>328</v>
      </c>
      <c r="E77" s="195">
        <f>IF(ISNUMBER(SEARCH('Карта учёта'!$B$13,Расходка[[#This Row],[Наименование расходного материала]])),MAX($E$1:E76)+1,0)</f>
        <v>0</v>
      </c>
      <c r="F77" s="195">
        <f>IF(ISNUMBER(SEARCH('Карта учёта'!$B$14,Расходка[[#This Row],[Наименование расходного материала]])),MAX($F$1:F76)+1,0)</f>
        <v>0</v>
      </c>
      <c r="G77" s="195">
        <f>IF(ISNUMBER(SEARCH('Карта учёта'!$B$15,Расходка[[#This Row],[Наименование расходного материала]])),MAX($G$1:G76)+1,0)</f>
        <v>0</v>
      </c>
      <c r="H77" s="195">
        <f>IF(ISNUMBER(SEARCH('Карта учёта'!#REF!,Расходка[[#This Row],[Наименование расходного материала]])),MAX($H$1:H76)+1,0)</f>
        <v>0</v>
      </c>
      <c r="I77" s="195">
        <f>IF(ISNUMBER(SEARCH('Карта учёта'!$B$17,Расходка[[#This Row],[Наименование расходного материала]])),MAX($I$1:I76)+1,0)</f>
        <v>0</v>
      </c>
      <c r="J77" s="195">
        <f>IF(ISNUMBER(SEARCH('Карта учёта'!$B$18,Расходка[[#This Row],[Наименование расходного материала]])),MAX($J$1:J76)+1,0)</f>
        <v>76</v>
      </c>
      <c r="K77" s="195">
        <f>IF(ISNUMBER(SEARCH('Карта учёта'!$B$16,Расходка[[#This Row],[Наименование расходного материала]])),MAX($K$1:K76)+1,0)</f>
        <v>0</v>
      </c>
      <c r="L77" s="195">
        <f>IF(ISNUMBER(SEARCH('Карта учёта'!$B$20,Расходка[[#This Row],[Наименование расходного материала]])),MAX($L$1:L76)+1,0)</f>
        <v>76</v>
      </c>
      <c r="M77" s="195">
        <f>IF(ISNUMBER(SEARCH('Карта учёта'!$B$21,Расходка[[#This Row],[Наименование расходного материала]])),MAX($M$1:M76)+1,0)</f>
        <v>76</v>
      </c>
      <c r="N77" s="195">
        <f>IF(ISNUMBER(SEARCH('Карта учёта'!$B$22,Расходка[[#This Row],[Наименование расходного материала]])),MAX($N$1:N76)+1,0)</f>
        <v>76</v>
      </c>
      <c r="O77" s="195">
        <f>IF(ISNUMBER(SEARCH('Карта учёта'!$B$23,Расходка[[#This Row],[Наименование расходного материала]])),MAX($O$1:O76)+1,0)</f>
        <v>76</v>
      </c>
      <c r="P77" s="195">
        <f>IF(ISNUMBER(SEARCH('Карта учёта'!$B$24,Расходка[[#This Row],[Наименование расходного материала]])),MAX($P$1:P76)+1,0)</f>
        <v>76</v>
      </c>
      <c r="Q77" s="195">
        <f>IF(ISNUMBER(SEARCH('Карта учёта'!$B$25,Расходка[[#This Row],[Наименование расходного материала]])),MAX($Q$1:Q76)+1,0)</f>
        <v>76</v>
      </c>
      <c r="R77" s="196" t="str">
        <f>IFERROR(INDEX(Расходка[Наименование расходного материала],MATCH(Расходка[[#This Row],[№]],Поиск_расходки[Индекс1],0)),"")</f>
        <v/>
      </c>
      <c r="S77" s="196" t="str">
        <f>IFERROR(INDEX(Расходка[Наименование расходного материала],MATCH(Расходка[[#This Row],[№]],Поиск_расходки[Индекс2],0)),"")</f>
        <v/>
      </c>
      <c r="T77" s="196" t="str">
        <f>IFERROR(INDEX(Расходка[Наименование расходного материала],MATCH(Расходка[[#This Row],[№]],Поиск_расходки[Индекс3],0)),"")</f>
        <v/>
      </c>
      <c r="U77" s="196" t="str">
        <f>IFERROR(INDEX(Расходка[Наименование расходного материала],MATCH(Расходка[[#This Row],[№]],Поиск_расходки[Индекс4],0)),"")</f>
        <v/>
      </c>
      <c r="V77" s="196" t="str">
        <f>IFERROR(INDEX(Расходка[Наименование расходного материала],MATCH(Расходка[[#This Row],[№]],Поиск_расходки[Индекс5],0)),"")</f>
        <v/>
      </c>
      <c r="W77" s="196" t="str">
        <f>IFERROR(INDEX(Расходка[Наименование расходного материала],MATCH(Расходка[[#This Row],[№]],Поиск_расходки[Индекс6],0)),"")</f>
        <v>Launcher 6F JR 4.0</v>
      </c>
      <c r="X77" s="196" t="str">
        <f>IFERROR(INDEX(Расходка[Наименование расходного материала],MATCH(Расходка[[#This Row],[№]],Поиск_расходки[Индекс7],0)),"")</f>
        <v/>
      </c>
      <c r="Y77" s="196" t="str">
        <f>IFERROR(INDEX(Расходка[Наименование расходного материала],MATCH(Расходка[[#This Row],[№]],Поиск_расходки[Индекс8],0)),"")</f>
        <v>Launcher 6F JR 4.0</v>
      </c>
      <c r="Z77" s="196" t="str">
        <f>IFERROR(INDEX(Расходка[Наименование расходного материала],MATCH(Расходка[[#This Row],[№]],Поиск_расходки[Индекс9],0)),"")</f>
        <v>Launcher 6F JR 4.0</v>
      </c>
      <c r="AA77" s="196" t="str">
        <f>IFERROR(INDEX(Расходка[Наименование расходного материала],MATCH(Расходка[[#This Row],[№]],Поиск_расходки[Индекс10],0)),"")</f>
        <v>Launcher 6F JR 4.0</v>
      </c>
      <c r="AB77" s="196" t="str">
        <f>IFERROR(INDEX(Расходка[Наименование расходного материала],MATCH(Расходка[[#This Row],[№]],Поиск_расходки[Индекс11],0)),"")</f>
        <v>Launcher 6F JR 4.0</v>
      </c>
      <c r="AC77" s="196" t="str">
        <f>IFERROR(INDEX(Расходка[Наименование расходного материала],MATCH(Расходка[[#This Row],[№]],Поиск_расходки[Индекс12],0)),"")</f>
        <v>Launcher 6F JR 4.0</v>
      </c>
      <c r="AD77" s="196" t="str">
        <f>IFERROR(INDEX(Расходка[Наименование расходного материала],MATCH(Расходка[[#This Row],[№]],Поиск_расходки[Индекс13],0)),"")</f>
        <v>Launcher 6F JR 4.0</v>
      </c>
      <c r="AF77" s="4" t="s">
        <v>6</v>
      </c>
      <c r="AG77" s="4" t="s">
        <v>464</v>
      </c>
    </row>
    <row r="78" spans="1:33">
      <c r="A78">
        <f>ROW(Расходка[[#This Row],[Тип расходного материала ]])-1</f>
        <v>77</v>
      </c>
      <c r="B78" t="s">
        <v>4</v>
      </c>
      <c r="C78" t="s">
        <v>338</v>
      </c>
      <c r="E78" s="195">
        <f>IF(ISNUMBER(SEARCH('Карта учёта'!$B$13,Расходка[[#This Row],[Наименование расходного материала]])),MAX($E$1:E77)+1,0)</f>
        <v>0</v>
      </c>
      <c r="F78" s="195">
        <f>IF(ISNUMBER(SEARCH('Карта учёта'!$B$14,Расходка[[#This Row],[Наименование расходного материала]])),MAX($F$1:F77)+1,0)</f>
        <v>0</v>
      </c>
      <c r="G78" s="195">
        <f>IF(ISNUMBER(SEARCH('Карта учёта'!$B$15,Расходка[[#This Row],[Наименование расходного материала]])),MAX($G$1:G77)+1,0)</f>
        <v>0</v>
      </c>
      <c r="H78" s="195">
        <f>IF(ISNUMBER(SEARCH('Карта учёта'!#REF!,Расходка[[#This Row],[Наименование расходного материала]])),MAX($H$1:H77)+1,0)</f>
        <v>0</v>
      </c>
      <c r="I78" s="195">
        <f>IF(ISNUMBER(SEARCH('Карта учёта'!$B$17,Расходка[[#This Row],[Наименование расходного материала]])),MAX($I$1:I77)+1,0)</f>
        <v>0</v>
      </c>
      <c r="J78" s="195">
        <f>IF(ISNUMBER(SEARCH('Карта учёта'!$B$18,Расходка[[#This Row],[Наименование расходного материала]])),MAX($J$1:J77)+1,0)</f>
        <v>77</v>
      </c>
      <c r="K78" s="195">
        <f>IF(ISNUMBER(SEARCH('Карта учёта'!$B$16,Расходка[[#This Row],[Наименование расходного материала]])),MAX($K$1:K77)+1,0)</f>
        <v>0</v>
      </c>
      <c r="L78" s="195">
        <f>IF(ISNUMBER(SEARCH('Карта учёта'!$B$20,Расходка[[#This Row],[Наименование расходного материала]])),MAX($L$1:L77)+1,0)</f>
        <v>77</v>
      </c>
      <c r="M78" s="195">
        <f>IF(ISNUMBER(SEARCH('Карта учёта'!$B$21,Расходка[[#This Row],[Наименование расходного материала]])),MAX($M$1:M77)+1,0)</f>
        <v>77</v>
      </c>
      <c r="N78" s="195">
        <f>IF(ISNUMBER(SEARCH('Карта учёта'!$B$22,Расходка[[#This Row],[Наименование расходного материала]])),MAX($N$1:N77)+1,0)</f>
        <v>77</v>
      </c>
      <c r="O78" s="195">
        <f>IF(ISNUMBER(SEARCH('Карта учёта'!$B$23,Расходка[[#This Row],[Наименование расходного материала]])),MAX($O$1:O77)+1,0)</f>
        <v>77</v>
      </c>
      <c r="P78" s="195">
        <f>IF(ISNUMBER(SEARCH('Карта учёта'!$B$24,Расходка[[#This Row],[Наименование расходного материала]])),MAX($P$1:P77)+1,0)</f>
        <v>77</v>
      </c>
      <c r="Q78" s="195">
        <f>IF(ISNUMBER(SEARCH('Карта учёта'!$B$25,Расходка[[#This Row],[Наименование расходного материала]])),MAX($Q$1:Q77)+1,0)</f>
        <v>77</v>
      </c>
      <c r="R78" s="196" t="str">
        <f>IFERROR(INDEX(Расходка[Наименование расходного материала],MATCH(Расходка[[#This Row],[№]],Поиск_расходки[Индекс1],0)),"")</f>
        <v/>
      </c>
      <c r="S78" s="196" t="str">
        <f>IFERROR(INDEX(Расходка[Наименование расходного материала],MATCH(Расходка[[#This Row],[№]],Поиск_расходки[Индекс2],0)),"")</f>
        <v/>
      </c>
      <c r="T78" s="196" t="str">
        <f>IFERROR(INDEX(Расходка[Наименование расходного материала],MATCH(Расходка[[#This Row],[№]],Поиск_расходки[Индекс3],0)),"")</f>
        <v/>
      </c>
      <c r="U78" s="196" t="str">
        <f>IFERROR(INDEX(Расходка[Наименование расходного материала],MATCH(Расходка[[#This Row],[№]],Поиск_расходки[Индекс4],0)),"")</f>
        <v/>
      </c>
      <c r="V78" s="196" t="str">
        <f>IFERROR(INDEX(Расходка[Наименование расходного материала],MATCH(Расходка[[#This Row],[№]],Поиск_расходки[Индекс5],0)),"")</f>
        <v/>
      </c>
      <c r="W78" s="196" t="str">
        <f>IFERROR(INDEX(Расходка[Наименование расходного материала],MATCH(Расходка[[#This Row],[№]],Поиск_расходки[Индекс6],0)),"")</f>
        <v>Launcher 7F JL 3.5</v>
      </c>
      <c r="X78" s="196" t="str">
        <f>IFERROR(INDEX(Расходка[Наименование расходного материала],MATCH(Расходка[[#This Row],[№]],Поиск_расходки[Индекс7],0)),"")</f>
        <v/>
      </c>
      <c r="Y78" s="196" t="str">
        <f>IFERROR(INDEX(Расходка[Наименование расходного материала],MATCH(Расходка[[#This Row],[№]],Поиск_расходки[Индекс8],0)),"")</f>
        <v>Launcher 7F JL 3.5</v>
      </c>
      <c r="Z78" s="196" t="str">
        <f>IFERROR(INDEX(Расходка[Наименование расходного материала],MATCH(Расходка[[#This Row],[№]],Поиск_расходки[Индекс9],0)),"")</f>
        <v>Launcher 7F JL 3.5</v>
      </c>
      <c r="AA78" s="196" t="str">
        <f>IFERROR(INDEX(Расходка[Наименование расходного материала],MATCH(Расходка[[#This Row],[№]],Поиск_расходки[Индекс10],0)),"")</f>
        <v>Launcher 7F JL 3.5</v>
      </c>
      <c r="AB78" s="196" t="str">
        <f>IFERROR(INDEX(Расходка[Наименование расходного материала],MATCH(Расходка[[#This Row],[№]],Поиск_расходки[Индекс11],0)),"")</f>
        <v>Launcher 7F JL 3.5</v>
      </c>
      <c r="AC78" s="196" t="str">
        <f>IFERROR(INDEX(Расходка[Наименование расходного материала],MATCH(Расходка[[#This Row],[№]],Поиск_расходки[Индекс12],0)),"")</f>
        <v>Launcher 7F JL 3.5</v>
      </c>
      <c r="AD78" s="196" t="str">
        <f>IFERROR(INDEX(Расходка[Наименование расходного материала],MATCH(Расходка[[#This Row],[№]],Поиск_расходки[Индекс13],0)),"")</f>
        <v>Launcher 7F JL 3.5</v>
      </c>
      <c r="AF78" s="4" t="s">
        <v>6</v>
      </c>
      <c r="AG78" s="4" t="s">
        <v>465</v>
      </c>
    </row>
    <row r="79" spans="1:33">
      <c r="A79">
        <f>ROW(Расходка[[#This Row],[Тип расходного материала ]])-1</f>
        <v>78</v>
      </c>
      <c r="B79" t="s">
        <v>4</v>
      </c>
      <c r="C79" t="s">
        <v>337</v>
      </c>
      <c r="AF79" s="4" t="s">
        <v>6</v>
      </c>
      <c r="AG79" s="4" t="s">
        <v>466</v>
      </c>
    </row>
    <row r="80" spans="1:33">
      <c r="A80">
        <f>ROW(Расходка[[#This Row],[Тип расходного материала ]])-1</f>
        <v>79</v>
      </c>
      <c r="B80" t="s">
        <v>300</v>
      </c>
      <c r="C80" s="1" t="s">
        <v>329</v>
      </c>
      <c r="AF80" s="4" t="s">
        <v>6</v>
      </c>
      <c r="AG80" s="4" t="s">
        <v>467</v>
      </c>
    </row>
    <row r="81" spans="32:33">
      <c r="AF81" s="4" t="s">
        <v>6</v>
      </c>
      <c r="AG81" s="4" t="s">
        <v>468</v>
      </c>
    </row>
    <row r="82" spans="32:33">
      <c r="AF82" s="4" t="s">
        <v>6</v>
      </c>
      <c r="AG82" s="4" t="s">
        <v>469</v>
      </c>
    </row>
    <row r="83" spans="32:33">
      <c r="AF83" s="4" t="s">
        <v>6</v>
      </c>
      <c r="AG83" s="4" t="s">
        <v>470</v>
      </c>
    </row>
    <row r="84" spans="32:33">
      <c r="AF84" s="4" t="s">
        <v>6</v>
      </c>
      <c r="AG84" s="4" t="s">
        <v>421</v>
      </c>
    </row>
    <row r="85" spans="32:33">
      <c r="AF85" s="4" t="s">
        <v>6</v>
      </c>
      <c r="AG85" s="4" t="s">
        <v>422</v>
      </c>
    </row>
    <row r="86" spans="32:33">
      <c r="AF86" s="4" t="s">
        <v>6</v>
      </c>
      <c r="AG86" s="4" t="s">
        <v>471</v>
      </c>
    </row>
    <row r="87" spans="32:33">
      <c r="AF87" s="4" t="s">
        <v>6</v>
      </c>
      <c r="AG87" s="4" t="s">
        <v>472</v>
      </c>
    </row>
    <row r="88" spans="32:33">
      <c r="AF88" s="4" t="s">
        <v>6</v>
      </c>
      <c r="AG88" s="4" t="s">
        <v>473</v>
      </c>
    </row>
    <row r="89" spans="32:33">
      <c r="AF89" s="4" t="s">
        <v>6</v>
      </c>
      <c r="AG89" s="4" t="s">
        <v>474</v>
      </c>
    </row>
    <row r="90" spans="32:33">
      <c r="AF90" s="4" t="s">
        <v>6</v>
      </c>
      <c r="AG90" s="4" t="s">
        <v>475</v>
      </c>
    </row>
    <row r="91" spans="32:33">
      <c r="AF91" s="4" t="s">
        <v>6</v>
      </c>
      <c r="AG91" s="4" t="s">
        <v>476</v>
      </c>
    </row>
    <row r="92" spans="32:33">
      <c r="AF92" s="4" t="s">
        <v>6</v>
      </c>
      <c r="AG92" s="4" t="s">
        <v>477</v>
      </c>
    </row>
    <row r="93" spans="32:33">
      <c r="AF93" s="4" t="s">
        <v>6</v>
      </c>
      <c r="AG93" s="4" t="s">
        <v>478</v>
      </c>
    </row>
    <row r="94" spans="32:33">
      <c r="AF94" s="4" t="s">
        <v>6</v>
      </c>
      <c r="AG94" s="4" t="s">
        <v>425</v>
      </c>
    </row>
    <row r="95" spans="32:33">
      <c r="AF95" s="4" t="s">
        <v>6</v>
      </c>
      <c r="AG95" s="4" t="s">
        <v>426</v>
      </c>
    </row>
    <row r="96" spans="32:33">
      <c r="AF96" s="4" t="s">
        <v>6</v>
      </c>
      <c r="AG96" s="4" t="s">
        <v>479</v>
      </c>
    </row>
    <row r="97" spans="32:33">
      <c r="AF97" s="4" t="s">
        <v>6</v>
      </c>
      <c r="AG97" s="4" t="s">
        <v>480</v>
      </c>
    </row>
  </sheetData>
  <sheetProtection sheet="1" objects="1" scenarios="1" formatCells="0" formatColumns="0"/>
  <phoneticPr fontId="15" type="noConversion"/>
  <dataValidations count="1">
    <dataValidation type="list" allowBlank="1" showInputMessage="1" showErrorMessage="1" sqref="B2:B80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1"/>
  <sheetViews>
    <sheetView zoomScale="90" zoomScaleNormal="90" workbookViewId="0">
      <selection activeCell="B16" sqref="B16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112</v>
      </c>
      <c r="B1" t="s">
        <v>111</v>
      </c>
      <c r="C1" t="s">
        <v>113</v>
      </c>
      <c r="E1" t="s">
        <v>174</v>
      </c>
    </row>
    <row r="2" spans="1:5">
      <c r="A2" t="s">
        <v>133</v>
      </c>
      <c r="B2" t="s">
        <v>107</v>
      </c>
      <c r="C2" t="str">
        <f t="shared" ref="C2:C17" si="0">CONCATENATE(A2,B2)</f>
        <v xml:space="preserve">Заведующий отделения: Д.В. Карчевский </v>
      </c>
      <c r="E2" t="s">
        <v>171</v>
      </c>
    </row>
    <row r="3" spans="1:5">
      <c r="A3" t="s">
        <v>123</v>
      </c>
      <c r="B3" t="s">
        <v>532</v>
      </c>
      <c r="C3" t="str">
        <f t="shared" si="0"/>
        <v>И/О заведующего отделения: М.А. Дибиров</v>
      </c>
      <c r="E3" t="s">
        <v>178</v>
      </c>
    </row>
    <row r="4" spans="1:5">
      <c r="A4" t="s">
        <v>123</v>
      </c>
      <c r="B4" t="s">
        <v>116</v>
      </c>
      <c r="C4" t="str">
        <f>CONCATENATE(A4,B4)</f>
        <v xml:space="preserve">И/О заведующего отделения: А.В. Воронков </v>
      </c>
      <c r="E4" t="s">
        <v>172</v>
      </c>
    </row>
    <row r="5" spans="1:5">
      <c r="A5" t="s">
        <v>108</v>
      </c>
      <c r="B5" t="s">
        <v>118</v>
      </c>
      <c r="C5" t="str">
        <f t="shared" si="0"/>
        <v>Оператор: В.В. Анохин</v>
      </c>
      <c r="E5" t="s">
        <v>169</v>
      </c>
    </row>
    <row r="6" spans="1:5">
      <c r="A6" t="s">
        <v>108</v>
      </c>
      <c r="B6" t="s">
        <v>116</v>
      </c>
      <c r="C6" t="str">
        <f t="shared" si="0"/>
        <v xml:space="preserve">Оператор: А.В. Воронков </v>
      </c>
      <c r="E6" t="s">
        <v>301</v>
      </c>
    </row>
    <row r="7" spans="1:5">
      <c r="A7" t="s">
        <v>108</v>
      </c>
      <c r="B7" t="s">
        <v>119</v>
      </c>
      <c r="C7" t="str">
        <f t="shared" si="0"/>
        <v>Оператор: И.Н. Зимин</v>
      </c>
      <c r="E7" t="s">
        <v>179</v>
      </c>
    </row>
    <row r="8" spans="1:5">
      <c r="A8" t="s">
        <v>108</v>
      </c>
      <c r="B8" t="s">
        <v>107</v>
      </c>
      <c r="C8" t="str">
        <f t="shared" si="0"/>
        <v xml:space="preserve">Оператор: Д.В. Карчевский </v>
      </c>
      <c r="E8" t="s">
        <v>180</v>
      </c>
    </row>
    <row r="9" spans="1:5">
      <c r="A9" t="s">
        <v>108</v>
      </c>
      <c r="B9" t="s">
        <v>109</v>
      </c>
      <c r="C9" t="str">
        <f t="shared" si="0"/>
        <v xml:space="preserve">Оператор: В.Л. Мартынко </v>
      </c>
      <c r="E9" t="s">
        <v>181</v>
      </c>
    </row>
    <row r="10" spans="1:5">
      <c r="A10" t="s">
        <v>108</v>
      </c>
      <c r="B10" t="s">
        <v>114</v>
      </c>
      <c r="C10" t="str">
        <f t="shared" si="0"/>
        <v xml:space="preserve">Оператор: А.С. Меренков </v>
      </c>
      <c r="E10" t="s">
        <v>182</v>
      </c>
    </row>
    <row r="11" spans="1:5">
      <c r="A11" t="s">
        <v>108</v>
      </c>
      <c r="B11" t="s">
        <v>117</v>
      </c>
      <c r="C11" t="str">
        <f t="shared" si="0"/>
        <v xml:space="preserve">Оператор: О.В. Мещеряков </v>
      </c>
      <c r="E11" t="s">
        <v>183</v>
      </c>
    </row>
    <row r="12" spans="1:5">
      <c r="A12" t="s">
        <v>108</v>
      </c>
      <c r="B12" t="s">
        <v>115</v>
      </c>
      <c r="C12" t="str">
        <f t="shared" si="0"/>
        <v xml:space="preserve">Оператор: И.А. Московский </v>
      </c>
    </row>
    <row r="13" spans="1:5">
      <c r="A13" t="s">
        <v>108</v>
      </c>
      <c r="B13" t="s">
        <v>121</v>
      </c>
      <c r="C13" t="str">
        <f>CONCATENATE(A13,B13)</f>
        <v>Оператор: А.Ф. Паращенко</v>
      </c>
    </row>
    <row r="14" spans="1:5">
      <c r="A14" t="s">
        <v>108</v>
      </c>
      <c r="B14" t="s">
        <v>110</v>
      </c>
      <c r="C14" t="str">
        <f t="shared" si="0"/>
        <v xml:space="preserve">Оператор: А.С. Щербаков </v>
      </c>
    </row>
    <row r="15" spans="1:5">
      <c r="A15" t="s">
        <v>120</v>
      </c>
      <c r="B15" t="s">
        <v>511</v>
      </c>
      <c r="C15" s="200" t="str">
        <f>CONCATENATE(A15,B15)</f>
        <v>Старшая мед.сетра: Н.Б. Шишкина</v>
      </c>
    </row>
    <row r="16" spans="1:5">
      <c r="A16" t="s">
        <v>120</v>
      </c>
      <c r="B16" t="s">
        <v>511</v>
      </c>
      <c r="C16" t="str">
        <f>CONCATENATE(A16,B16)</f>
        <v>Старшая мед.сетра: Н.Б. Шишкина</v>
      </c>
    </row>
    <row r="17" spans="1:3">
      <c r="A17" t="s">
        <v>122</v>
      </c>
      <c r="B17" t="s">
        <v>347</v>
      </c>
      <c r="C17" t="str">
        <f t="shared" si="0"/>
        <v xml:space="preserve">И/О старшей мед.сетры: А.А. Нефёдова </v>
      </c>
    </row>
    <row r="18" spans="1:3">
      <c r="A18" t="s">
        <v>122</v>
      </c>
      <c r="B18" t="s">
        <v>346</v>
      </c>
      <c r="C18" t="str">
        <f>CONCATENATE(A18,B18)</f>
        <v>И/О старшей мед.сетры: А.М. Казанцева</v>
      </c>
    </row>
    <row r="19" spans="1:3">
      <c r="C19" s="200"/>
    </row>
    <row r="20" spans="1:3">
      <c r="C20" s="200"/>
    </row>
    <row r="21" spans="1:3">
      <c r="A21" t="s">
        <v>174</v>
      </c>
      <c r="B21" t="s">
        <v>173</v>
      </c>
    </row>
    <row r="22" spans="1:3">
      <c r="A22" t="s">
        <v>169</v>
      </c>
      <c r="B22" t="s">
        <v>266</v>
      </c>
    </row>
    <row r="23" spans="1:3">
      <c r="A23" t="s">
        <v>169</v>
      </c>
      <c r="B23" t="s">
        <v>175</v>
      </c>
    </row>
    <row r="24" spans="1:3">
      <c r="A24" t="s">
        <v>169</v>
      </c>
      <c r="B24" t="s">
        <v>302</v>
      </c>
    </row>
    <row r="25" spans="1:3">
      <c r="A25" t="s">
        <v>169</v>
      </c>
      <c r="B25" t="s">
        <v>249</v>
      </c>
    </row>
    <row r="26" spans="1:3">
      <c r="A26" t="s">
        <v>169</v>
      </c>
      <c r="B26" t="s">
        <v>263</v>
      </c>
    </row>
    <row r="27" spans="1:3">
      <c r="A27" t="s">
        <v>169</v>
      </c>
      <c r="B27" t="s">
        <v>267</v>
      </c>
    </row>
    <row r="28" spans="1:3">
      <c r="A28" t="s">
        <v>169</v>
      </c>
      <c r="B28" t="s">
        <v>255</v>
      </c>
    </row>
    <row r="29" spans="1:3">
      <c r="A29" t="s">
        <v>169</v>
      </c>
      <c r="B29" t="s">
        <v>254</v>
      </c>
    </row>
    <row r="30" spans="1:3">
      <c r="A30" t="s">
        <v>169</v>
      </c>
      <c r="B30" t="s">
        <v>521</v>
      </c>
    </row>
    <row r="31" spans="1:3">
      <c r="A31" t="s">
        <v>169</v>
      </c>
      <c r="B31" t="s">
        <v>253</v>
      </c>
    </row>
    <row r="32" spans="1:3">
      <c r="A32" t="s">
        <v>169</v>
      </c>
      <c r="B32" t="s">
        <v>269</v>
      </c>
    </row>
    <row r="33" spans="1:2">
      <c r="A33" t="s">
        <v>169</v>
      </c>
      <c r="B33" t="s">
        <v>350</v>
      </c>
    </row>
    <row r="34" spans="1:2">
      <c r="A34" t="s">
        <v>169</v>
      </c>
      <c r="B34" t="s">
        <v>262</v>
      </c>
    </row>
    <row r="35" spans="1:2">
      <c r="A35" t="s">
        <v>169</v>
      </c>
      <c r="B35" t="s">
        <v>248</v>
      </c>
    </row>
    <row r="36" spans="1:2">
      <c r="A36" t="s">
        <v>169</v>
      </c>
      <c r="B36" t="s">
        <v>252</v>
      </c>
    </row>
    <row r="37" spans="1:2">
      <c r="A37" t="s">
        <v>169</v>
      </c>
      <c r="B37" t="s">
        <v>247</v>
      </c>
    </row>
    <row r="38" spans="1:2">
      <c r="A38" t="s">
        <v>169</v>
      </c>
      <c r="B38" t="s">
        <v>361</v>
      </c>
    </row>
    <row r="39" spans="1:2">
      <c r="A39" t="s">
        <v>169</v>
      </c>
      <c r="B39" t="s">
        <v>502</v>
      </c>
    </row>
    <row r="40" spans="1:2">
      <c r="A40" t="s">
        <v>169</v>
      </c>
      <c r="B40" t="s">
        <v>265</v>
      </c>
    </row>
    <row r="41" spans="1:2">
      <c r="A41" t="s">
        <v>169</v>
      </c>
      <c r="B41" t="s">
        <v>264</v>
      </c>
    </row>
    <row r="42" spans="1:2">
      <c r="A42" t="s">
        <v>169</v>
      </c>
      <c r="B42" t="s">
        <v>256</v>
      </c>
    </row>
    <row r="43" spans="1:2">
      <c r="A43" t="s">
        <v>169</v>
      </c>
      <c r="B43" t="s">
        <v>250</v>
      </c>
    </row>
    <row r="44" spans="1:2">
      <c r="A44" t="s">
        <v>169</v>
      </c>
      <c r="B44" t="s">
        <v>251</v>
      </c>
    </row>
    <row r="45" spans="1:2">
      <c r="A45" t="s">
        <v>301</v>
      </c>
      <c r="B45" t="s">
        <v>259</v>
      </c>
    </row>
    <row r="46" spans="1:2">
      <c r="A46" t="s">
        <v>301</v>
      </c>
      <c r="B46" t="s">
        <v>260</v>
      </c>
    </row>
    <row r="47" spans="1:2">
      <c r="A47" t="s">
        <v>301</v>
      </c>
      <c r="B47" t="s">
        <v>261</v>
      </c>
    </row>
    <row r="48" spans="1:2">
      <c r="A48" t="s">
        <v>301</v>
      </c>
      <c r="B48" t="s">
        <v>522</v>
      </c>
    </row>
    <row r="49" spans="1:2">
      <c r="A49" t="s">
        <v>301</v>
      </c>
      <c r="B49" t="s">
        <v>177</v>
      </c>
    </row>
    <row r="50" spans="1:2">
      <c r="A50" t="s">
        <v>301</v>
      </c>
      <c r="B50" t="s">
        <v>257</v>
      </c>
    </row>
    <row r="51" spans="1:2">
      <c r="A51" t="s">
        <v>301</v>
      </c>
      <c r="B51" t="s">
        <v>268</v>
      </c>
    </row>
    <row r="52" spans="1:2">
      <c r="A52" t="s">
        <v>301</v>
      </c>
      <c r="B52" t="s">
        <v>176</v>
      </c>
    </row>
    <row r="53" spans="1:2">
      <c r="A53" t="s">
        <v>301</v>
      </c>
      <c r="B53" t="s">
        <v>500</v>
      </c>
    </row>
    <row r="54" spans="1:2">
      <c r="A54" t="s">
        <v>301</v>
      </c>
      <c r="B54" t="s">
        <v>258</v>
      </c>
    </row>
    <row r="55" spans="1:2">
      <c r="A55" t="s">
        <v>301</v>
      </c>
      <c r="B55" t="s">
        <v>366</v>
      </c>
    </row>
    <row r="56" spans="1:2">
      <c r="A56" t="s">
        <v>301</v>
      </c>
      <c r="B56" t="s">
        <v>362</v>
      </c>
    </row>
    <row r="57" spans="1:2">
      <c r="A57" t="s">
        <v>170</v>
      </c>
      <c r="B57" t="s">
        <v>143</v>
      </c>
    </row>
    <row r="58" spans="1:2">
      <c r="A58" t="s">
        <v>170</v>
      </c>
      <c r="B58" t="s">
        <v>146</v>
      </c>
    </row>
    <row r="59" spans="1:2">
      <c r="A59" t="s">
        <v>170</v>
      </c>
      <c r="B59" t="s">
        <v>149</v>
      </c>
    </row>
    <row r="60" spans="1:2">
      <c r="A60" t="s">
        <v>170</v>
      </c>
      <c r="B60" t="s">
        <v>152</v>
      </c>
    </row>
    <row r="61" spans="1:2">
      <c r="A61" t="s">
        <v>170</v>
      </c>
      <c r="B61" t="s">
        <v>155</v>
      </c>
    </row>
    <row r="62" spans="1:2">
      <c r="A62" t="s">
        <v>170</v>
      </c>
      <c r="B62" t="s">
        <v>158</v>
      </c>
    </row>
    <row r="63" spans="1:2">
      <c r="A63" t="s">
        <v>170</v>
      </c>
      <c r="B63" t="s">
        <v>163</v>
      </c>
    </row>
    <row r="64" spans="1:2">
      <c r="A64" t="s">
        <v>170</v>
      </c>
      <c r="B64" t="s">
        <v>274</v>
      </c>
    </row>
    <row r="65" spans="1:2">
      <c r="A65" t="s">
        <v>170</v>
      </c>
      <c r="B65" t="s">
        <v>165</v>
      </c>
    </row>
    <row r="66" spans="1:2">
      <c r="A66" t="s">
        <v>170</v>
      </c>
      <c r="B66" t="s">
        <v>166</v>
      </c>
    </row>
    <row r="67" spans="1:2">
      <c r="A67" t="s">
        <v>170</v>
      </c>
      <c r="B67" t="s">
        <v>167</v>
      </c>
    </row>
    <row r="68" spans="1:2">
      <c r="A68" t="s">
        <v>170</v>
      </c>
      <c r="B68" t="s">
        <v>168</v>
      </c>
    </row>
    <row r="69" spans="1:2">
      <c r="A69" t="s">
        <v>170</v>
      </c>
      <c r="B69" t="s">
        <v>140</v>
      </c>
    </row>
    <row r="70" spans="1:2">
      <c r="A70" t="s">
        <v>170</v>
      </c>
      <c r="B70" t="s">
        <v>184</v>
      </c>
    </row>
    <row r="71" spans="1:2">
      <c r="A71" t="s">
        <v>171</v>
      </c>
      <c r="B71" t="s">
        <v>339</v>
      </c>
    </row>
    <row r="72" spans="1:2">
      <c r="A72" t="s">
        <v>171</v>
      </c>
      <c r="B72" t="s">
        <v>142</v>
      </c>
    </row>
    <row r="73" spans="1:2">
      <c r="A73" t="s">
        <v>171</v>
      </c>
      <c r="B73" t="s">
        <v>364</v>
      </c>
    </row>
    <row r="74" spans="1:2">
      <c r="A74" t="s">
        <v>171</v>
      </c>
      <c r="B74" t="s">
        <v>145</v>
      </c>
    </row>
    <row r="75" spans="1:2">
      <c r="A75" t="s">
        <v>171</v>
      </c>
      <c r="B75" t="s">
        <v>139</v>
      </c>
    </row>
    <row r="76" spans="1:2">
      <c r="A76" t="s">
        <v>171</v>
      </c>
      <c r="B76" t="s">
        <v>148</v>
      </c>
    </row>
    <row r="77" spans="1:2">
      <c r="A77" t="s">
        <v>171</v>
      </c>
      <c r="B77" t="s">
        <v>151</v>
      </c>
    </row>
    <row r="78" spans="1:2">
      <c r="A78" t="s">
        <v>171</v>
      </c>
      <c r="B78" t="s">
        <v>154</v>
      </c>
    </row>
    <row r="79" spans="1:2">
      <c r="A79" t="s">
        <v>171</v>
      </c>
      <c r="B79" t="s">
        <v>157</v>
      </c>
    </row>
    <row r="80" spans="1:2">
      <c r="A80" t="s">
        <v>171</v>
      </c>
      <c r="B80" t="s">
        <v>160</v>
      </c>
    </row>
    <row r="81" spans="1:2">
      <c r="A81" t="s">
        <v>171</v>
      </c>
      <c r="B81" t="s">
        <v>162</v>
      </c>
    </row>
    <row r="82" spans="1:2">
      <c r="A82" t="s">
        <v>183</v>
      </c>
      <c r="B82" t="s">
        <v>141</v>
      </c>
    </row>
    <row r="83" spans="1:2">
      <c r="A83" t="s">
        <v>183</v>
      </c>
      <c r="B83" t="s">
        <v>273</v>
      </c>
    </row>
    <row r="84" spans="1:2">
      <c r="A84" t="s">
        <v>183</v>
      </c>
      <c r="B84" t="s">
        <v>144</v>
      </c>
    </row>
    <row r="85" spans="1:2">
      <c r="A85" t="s">
        <v>183</v>
      </c>
      <c r="B85" t="s">
        <v>147</v>
      </c>
    </row>
    <row r="86" spans="1:2">
      <c r="A86" t="s">
        <v>183</v>
      </c>
      <c r="B86" t="s">
        <v>150</v>
      </c>
    </row>
    <row r="87" spans="1:2">
      <c r="A87" t="s">
        <v>183</v>
      </c>
      <c r="B87" t="s">
        <v>153</v>
      </c>
    </row>
    <row r="88" spans="1:2">
      <c r="A88" t="s">
        <v>183</v>
      </c>
      <c r="B88" t="s">
        <v>159</v>
      </c>
    </row>
    <row r="89" spans="1:2">
      <c r="A89" t="s">
        <v>183</v>
      </c>
      <c r="B89" t="s">
        <v>156</v>
      </c>
    </row>
    <row r="90" spans="1:2">
      <c r="A90" t="s">
        <v>183</v>
      </c>
      <c r="B90" t="s">
        <v>161</v>
      </c>
    </row>
    <row r="91" spans="1:2">
      <c r="A91" t="s">
        <v>183</v>
      </c>
      <c r="B91" t="s">
        <v>164</v>
      </c>
    </row>
  </sheetData>
  <sheetProtection sheet="1" objects="1" scenarios="1"/>
  <phoneticPr fontId="15" type="noConversion"/>
  <dataValidations count="1">
    <dataValidation type="list" allowBlank="1" showInputMessage="1" showErrorMessage="1" sqref="A22:A91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F19" sqref="F19"/>
    </sheetView>
  </sheetViews>
  <sheetFormatPr defaultRowHeight="15"/>
  <cols>
    <col min="1" max="1" width="73.7109375" bestFit="1" customWidth="1"/>
  </cols>
  <sheetData>
    <row r="1" spans="1:1" ht="61.9" customHeight="1">
      <c r="A1" s="189" t="s">
        <v>378</v>
      </c>
    </row>
    <row r="2" spans="1:1">
      <c r="A2" t="s">
        <v>375</v>
      </c>
    </row>
    <row r="3" spans="1:1">
      <c r="A3" t="s">
        <v>379</v>
      </c>
    </row>
    <row r="4" spans="1:1">
      <c r="A4" t="s">
        <v>380</v>
      </c>
    </row>
    <row r="5" spans="1:1">
      <c r="A5" t="s">
        <v>376</v>
      </c>
    </row>
    <row r="6" spans="1:1">
      <c r="A6" t="s">
        <v>377</v>
      </c>
    </row>
    <row r="7" spans="1:1" ht="14.45" customHeight="1"/>
    <row r="8" spans="1:1" ht="14.45" customHeight="1"/>
    <row r="9" spans="1:1" ht="14.45" customHeight="1"/>
    <row r="10" spans="1:1" ht="14.45" customHeight="1"/>
    <row r="11" spans="1:1" ht="14.45" customHeight="1"/>
    <row r="12" spans="1:1" ht="14.45" customHeight="1"/>
    <row r="13" spans="1:1" ht="14.45" customHeight="1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4</vt:i4>
      </vt:variant>
    </vt:vector>
  </HeadingPairs>
  <TitlesOfParts>
    <vt:vector size="12" baseType="lpstr">
      <vt:lpstr>КАГ</vt:lpstr>
      <vt:lpstr>ЧКВ</vt:lpstr>
      <vt:lpstr>КАГ to 1C</vt:lpstr>
      <vt:lpstr>Карта учёта</vt:lpstr>
      <vt:lpstr>Вмешательства</vt:lpstr>
      <vt:lpstr>Расходный материал</vt:lpstr>
      <vt:lpstr>Сотрудники</vt:lpstr>
      <vt:lpstr>Остальное</vt:lpstr>
      <vt:lpstr>КАГ!Область_печати</vt:lpstr>
      <vt:lpstr>'КАГ to 1C'!Область_печати</vt:lpstr>
      <vt:lpstr>'Карта учёта'!Область_печати</vt:lpstr>
      <vt:lpstr>ЧКВ!Область_печати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Экстренный Ангиограф</cp:lastModifiedBy>
  <cp:lastPrinted>2025-04-04T06:33:14Z</cp:lastPrinted>
  <dcterms:created xsi:type="dcterms:W3CDTF">2015-06-05T18:19:34Z</dcterms:created>
  <dcterms:modified xsi:type="dcterms:W3CDTF">2025-04-04T06:37:41Z</dcterms:modified>
</cp:coreProperties>
</file>