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é\Google Drive\EITS\PROJETO\"/>
    </mc:Choice>
  </mc:AlternateContent>
  <bookViews>
    <workbookView xWindow="1890" yWindow="0" windowWidth="21600" windowHeight="8910" tabRatio="570" activeTab="1"/>
  </bookViews>
  <sheets>
    <sheet name="Contagem" sheetId="1" r:id="rId1"/>
    <sheet name="Funções" sheetId="2" r:id="rId2"/>
    <sheet name="Sumário" sheetId="3" r:id="rId3"/>
    <sheet name="PFs por Sprint" sheetId="4" r:id="rId4"/>
  </sheets>
  <definedNames>
    <definedName name="_xlnm.Print_Area" localSheetId="1">Funções!$A$1:$V$117</definedName>
    <definedName name="_xlnm.Print_Area" localSheetId="2">Sumário!$A$1:$L$59</definedName>
    <definedName name="CF">Funções!$K$8:$K$58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62913"/>
</workbook>
</file>

<file path=xl/calcChain.xml><?xml version="1.0" encoding="utf-8"?>
<calcChain xmlns="http://schemas.openxmlformats.org/spreadsheetml/2006/main">
  <c r="S30" i="2" l="1"/>
  <c r="S29" i="2"/>
  <c r="S27" i="2"/>
  <c r="R27" i="2"/>
  <c r="O27" i="2"/>
  <c r="N27" i="2"/>
  <c r="L27" i="2"/>
  <c r="M27" i="2" s="1"/>
  <c r="R33" i="2"/>
  <c r="S33" i="2"/>
  <c r="R34" i="2"/>
  <c r="S34" i="2"/>
  <c r="T6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31" i="2"/>
  <c r="S32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31" i="2"/>
  <c r="R32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Q9" i="2"/>
  <c r="Q17" i="2"/>
  <c r="Q25" i="2"/>
  <c r="Q40" i="2"/>
  <c r="Q48" i="2"/>
  <c r="Q56" i="2"/>
  <c r="Q64" i="2"/>
  <c r="Q72" i="2"/>
  <c r="Q80" i="2"/>
  <c r="R80" i="2" s="1"/>
  <c r="Q88" i="2"/>
  <c r="Q96" i="2"/>
  <c r="Q104" i="2"/>
  <c r="R8" i="2"/>
  <c r="B19" i="4"/>
  <c r="B18" i="4"/>
  <c r="B17" i="4"/>
  <c r="B16" i="4"/>
  <c r="B15" i="4"/>
  <c r="B14" i="4"/>
  <c r="B13" i="4"/>
  <c r="B12" i="4"/>
  <c r="B11" i="4"/>
  <c r="B10" i="4"/>
  <c r="B9" i="4"/>
  <c r="B8" i="4"/>
  <c r="E58" i="3"/>
  <c r="S14" i="1" s="1"/>
  <c r="Y14" i="1" s="1"/>
  <c r="E57" i="3"/>
  <c r="S13" i="1" s="1"/>
  <c r="Y13" i="1" s="1"/>
  <c r="L9" i="2"/>
  <c r="M9" i="2" s="1"/>
  <c r="L10" i="2"/>
  <c r="M10" i="2" s="1"/>
  <c r="O15" i="2"/>
  <c r="O21" i="2"/>
  <c r="B5" i="4"/>
  <c r="B7" i="4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L11" i="2"/>
  <c r="K11" i="2" s="1"/>
  <c r="A4" i="2"/>
  <c r="G4" i="2"/>
  <c r="A5" i="2"/>
  <c r="G5" i="2"/>
  <c r="A6" i="2"/>
  <c r="F6" i="2"/>
  <c r="L12" i="2"/>
  <c r="M12" i="2" s="1"/>
  <c r="L13" i="2"/>
  <c r="N13" i="2" s="1"/>
  <c r="O13" i="2" s="1"/>
  <c r="L14" i="2"/>
  <c r="M14" i="2"/>
  <c r="L15" i="2"/>
  <c r="M15" i="2" s="1"/>
  <c r="N15" i="2"/>
  <c r="L16" i="2"/>
  <c r="M16" i="2" s="1"/>
  <c r="L17" i="2"/>
  <c r="M17" i="2" s="1"/>
  <c r="L18" i="2"/>
  <c r="M18" i="2" s="1"/>
  <c r="L19" i="2"/>
  <c r="N19" i="2" s="1"/>
  <c r="O19" i="2" s="1"/>
  <c r="L20" i="2"/>
  <c r="M20" i="2" s="1"/>
  <c r="L21" i="2"/>
  <c r="K21" i="2" s="1"/>
  <c r="N21" i="2"/>
  <c r="L22" i="2"/>
  <c r="N22" i="2" s="1"/>
  <c r="O22" i="2" s="1"/>
  <c r="L23" i="2"/>
  <c r="M23" i="2" s="1"/>
  <c r="L24" i="2"/>
  <c r="N24" i="2" s="1"/>
  <c r="O24" i="2" s="1"/>
  <c r="K24" i="2"/>
  <c r="L25" i="2"/>
  <c r="N25" i="2" s="1"/>
  <c r="O25" i="2" s="1"/>
  <c r="L26" i="2"/>
  <c r="M26" i="2" s="1"/>
  <c r="L28" i="2"/>
  <c r="K28" i="2" s="1"/>
  <c r="L29" i="2"/>
  <c r="M29" i="2" s="1"/>
  <c r="L30" i="2"/>
  <c r="M30" i="2" s="1"/>
  <c r="L31" i="2"/>
  <c r="M31" i="2" s="1"/>
  <c r="N31" i="2"/>
  <c r="L32" i="2"/>
  <c r="M32" i="2" s="1"/>
  <c r="N32" i="2"/>
  <c r="L33" i="2"/>
  <c r="M33" i="2" s="1"/>
  <c r="N33" i="2"/>
  <c r="L34" i="2"/>
  <c r="K34" i="2" s="1"/>
  <c r="N34" i="2"/>
  <c r="L35" i="2"/>
  <c r="K35" i="2" s="1"/>
  <c r="N35" i="2"/>
  <c r="L36" i="2"/>
  <c r="K36" i="2" s="1"/>
  <c r="N36" i="2"/>
  <c r="L37" i="2"/>
  <c r="K37" i="2" s="1"/>
  <c r="N37" i="2"/>
  <c r="L38" i="2"/>
  <c r="K38" i="2" s="1"/>
  <c r="N38" i="2"/>
  <c r="L39" i="2"/>
  <c r="K39" i="2" s="1"/>
  <c r="N39" i="2"/>
  <c r="L40" i="2"/>
  <c r="M40" i="2" s="1"/>
  <c r="N40" i="2"/>
  <c r="L41" i="2"/>
  <c r="M41" i="2" s="1"/>
  <c r="N41" i="2"/>
  <c r="L42" i="2"/>
  <c r="M42" i="2" s="1"/>
  <c r="N42" i="2"/>
  <c r="L43" i="2"/>
  <c r="M43" i="2" s="1"/>
  <c r="N43" i="2"/>
  <c r="L44" i="2"/>
  <c r="M44" i="2" s="1"/>
  <c r="N44" i="2"/>
  <c r="L45" i="2"/>
  <c r="M45" i="2" s="1"/>
  <c r="N45" i="2"/>
  <c r="L46" i="2"/>
  <c r="K46" i="2" s="1"/>
  <c r="N46" i="2"/>
  <c r="L47" i="2"/>
  <c r="M47" i="2" s="1"/>
  <c r="N47" i="2"/>
  <c r="L48" i="2"/>
  <c r="K48" i="2" s="1"/>
  <c r="N48" i="2"/>
  <c r="L49" i="2"/>
  <c r="K49" i="2" s="1"/>
  <c r="N49" i="2"/>
  <c r="L50" i="2"/>
  <c r="M50" i="2" s="1"/>
  <c r="N50" i="2"/>
  <c r="L51" i="2"/>
  <c r="K51" i="2" s="1"/>
  <c r="N51" i="2"/>
  <c r="L52" i="2"/>
  <c r="M52" i="2" s="1"/>
  <c r="N52" i="2"/>
  <c r="L53" i="2"/>
  <c r="M53" i="2" s="1"/>
  <c r="N53" i="2"/>
  <c r="L54" i="2"/>
  <c r="K54" i="2" s="1"/>
  <c r="N54" i="2"/>
  <c r="L55" i="2"/>
  <c r="K55" i="2" s="1"/>
  <c r="N55" i="2"/>
  <c r="L56" i="2"/>
  <c r="M56" i="2" s="1"/>
  <c r="N56" i="2"/>
  <c r="L57" i="2"/>
  <c r="M57" i="2" s="1"/>
  <c r="N57" i="2"/>
  <c r="L58" i="2"/>
  <c r="M58" i="2" s="1"/>
  <c r="N58" i="2"/>
  <c r="F58" i="3"/>
  <c r="F57" i="3"/>
  <c r="Q27" i="2" s="1"/>
  <c r="F56" i="3"/>
  <c r="F55" i="3"/>
  <c r="Q30" i="2" s="1"/>
  <c r="R30" i="2" s="1"/>
  <c r="A4" i="3"/>
  <c r="F4" i="3"/>
  <c r="A5" i="3"/>
  <c r="F5" i="3"/>
  <c r="A6" i="3"/>
  <c r="F6" i="3"/>
  <c r="N9" i="2"/>
  <c r="E56" i="3"/>
  <c r="S12" i="1" s="1"/>
  <c r="Y12" i="1" s="1"/>
  <c r="B6" i="4"/>
  <c r="O9" i="2"/>
  <c r="Q107" i="2"/>
  <c r="Q103" i="2"/>
  <c r="Q99" i="2"/>
  <c r="Q95" i="2"/>
  <c r="Q91" i="2"/>
  <c r="Q87" i="2"/>
  <c r="Q83" i="2"/>
  <c r="Q79" i="2"/>
  <c r="R79" i="2" s="1"/>
  <c r="Q75" i="2"/>
  <c r="Q71" i="2"/>
  <c r="Q67" i="2"/>
  <c r="Q63" i="2"/>
  <c r="Q59" i="2"/>
  <c r="Q55" i="2"/>
  <c r="Q51" i="2"/>
  <c r="Q47" i="2"/>
  <c r="Q43" i="2"/>
  <c r="Q39" i="2"/>
  <c r="Q35" i="2"/>
  <c r="Q31" i="2"/>
  <c r="Q23" i="2"/>
  <c r="Q15" i="2"/>
  <c r="Q11" i="2"/>
  <c r="Q8" i="2"/>
  <c r="S8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8" i="2"/>
  <c r="Q26" i="2"/>
  <c r="Q14" i="2"/>
  <c r="R29" i="2"/>
  <c r="M35" i="2"/>
  <c r="K31" i="2"/>
  <c r="M39" i="2"/>
  <c r="N23" i="2"/>
  <c r="O23" i="2" s="1"/>
  <c r="M19" i="2"/>
  <c r="K13" i="2"/>
  <c r="K22" i="2"/>
  <c r="M25" i="2"/>
  <c r="K19" i="2"/>
  <c r="K14" i="2"/>
  <c r="N14" i="2"/>
  <c r="O14" i="2" s="1"/>
  <c r="M11" i="2"/>
  <c r="N10" i="2"/>
  <c r="O10" i="2" s="1"/>
  <c r="N11" i="2"/>
  <c r="O11" i="2" s="1"/>
  <c r="N29" i="2" l="1"/>
  <c r="O29" i="2" s="1"/>
  <c r="N28" i="2"/>
  <c r="O28" i="2" s="1"/>
  <c r="N30" i="2"/>
  <c r="O30" i="2" s="1"/>
  <c r="K44" i="2"/>
  <c r="M24" i="2"/>
  <c r="K57" i="2"/>
  <c r="K45" i="2"/>
  <c r="K32" i="2"/>
  <c r="M36" i="2"/>
  <c r="M28" i="2"/>
  <c r="K43" i="2"/>
  <c r="K53" i="2"/>
  <c r="K41" i="2"/>
  <c r="K12" i="2"/>
  <c r="K15" i="2"/>
  <c r="M54" i="2"/>
  <c r="K56" i="2"/>
  <c r="K50" i="2"/>
  <c r="M48" i="2"/>
  <c r="M38" i="2"/>
  <c r="K47" i="2"/>
  <c r="N12" i="2"/>
  <c r="O12" i="2" s="1"/>
  <c r="M46" i="2"/>
  <c r="K29" i="2"/>
  <c r="K33" i="2"/>
  <c r="K52" i="2"/>
  <c r="K17" i="2"/>
  <c r="K20" i="2"/>
  <c r="K25" i="2"/>
  <c r="N17" i="2"/>
  <c r="O17" i="2" s="1"/>
  <c r="K9" i="2"/>
  <c r="K23" i="2"/>
  <c r="K58" i="2"/>
  <c r="M21" i="2"/>
  <c r="N20" i="2"/>
  <c r="O20" i="2" s="1"/>
  <c r="M22" i="2"/>
  <c r="M49" i="2"/>
  <c r="K40" i="2"/>
  <c r="G58" i="3"/>
  <c r="G56" i="3"/>
  <c r="G50" i="3"/>
  <c r="G51" i="3"/>
  <c r="N18" i="2"/>
  <c r="O18" i="2" s="1"/>
  <c r="K10" i="2"/>
  <c r="M13" i="2"/>
  <c r="K26" i="2"/>
  <c r="M55" i="2"/>
  <c r="M34" i="2"/>
  <c r="Q18" i="2"/>
  <c r="Q10" i="2"/>
  <c r="Q109" i="2"/>
  <c r="Q101" i="2"/>
  <c r="Q93" i="2"/>
  <c r="Q85" i="2"/>
  <c r="Q77" i="2"/>
  <c r="Q69" i="2"/>
  <c r="Q61" i="2"/>
  <c r="Q53" i="2"/>
  <c r="Q45" i="2"/>
  <c r="Q37" i="2"/>
  <c r="Q24" i="2"/>
  <c r="Q16" i="2"/>
  <c r="Q33" i="2"/>
  <c r="K18" i="2"/>
  <c r="N16" i="2"/>
  <c r="O16" i="2" s="1"/>
  <c r="Q22" i="2"/>
  <c r="Q19" i="2"/>
  <c r="M37" i="2"/>
  <c r="Q108" i="2"/>
  <c r="Q100" i="2"/>
  <c r="Q92" i="2"/>
  <c r="Q84" i="2"/>
  <c r="Q76" i="2"/>
  <c r="Q68" i="2"/>
  <c r="Q60" i="2"/>
  <c r="Q52" i="2"/>
  <c r="Q44" i="2"/>
  <c r="Q36" i="2"/>
  <c r="Q21" i="2"/>
  <c r="Q13" i="2"/>
  <c r="Q34" i="2"/>
  <c r="K27" i="2"/>
  <c r="Q29" i="2"/>
  <c r="N26" i="2"/>
  <c r="O26" i="2" s="1"/>
  <c r="K16" i="2"/>
  <c r="K30" i="2"/>
  <c r="K42" i="2"/>
  <c r="M51" i="2"/>
  <c r="G57" i="3"/>
  <c r="Q105" i="2"/>
  <c r="Q97" i="2"/>
  <c r="Q89" i="2"/>
  <c r="Q81" i="2"/>
  <c r="R81" i="2" s="1"/>
  <c r="Q73" i="2"/>
  <c r="Q65" i="2"/>
  <c r="Q57" i="2"/>
  <c r="Q49" i="2"/>
  <c r="Q41" i="2"/>
  <c r="Q32" i="2"/>
  <c r="Q20" i="2"/>
  <c r="Q12" i="2"/>
  <c r="G49" i="3" l="1"/>
  <c r="U6" i="2" s="1"/>
  <c r="W5" i="1" s="1"/>
  <c r="K6" i="3" s="1"/>
  <c r="C19" i="3"/>
  <c r="G19" i="3" s="1"/>
  <c r="C25" i="3"/>
  <c r="G25" i="3" s="1"/>
  <c r="C17" i="3"/>
  <c r="E55" i="3"/>
  <c r="C31" i="3"/>
  <c r="C32" i="3"/>
  <c r="G32" i="3" s="1"/>
  <c r="C12" i="3"/>
  <c r="G12" i="3" s="1"/>
  <c r="C24" i="3"/>
  <c r="C18" i="3"/>
  <c r="G18" i="3" s="1"/>
  <c r="C26" i="3"/>
  <c r="G26" i="3" s="1"/>
  <c r="C39" i="3"/>
  <c r="G39" i="3" s="1"/>
  <c r="C11" i="3"/>
  <c r="G11" i="3" s="1"/>
  <c r="C33" i="3"/>
  <c r="G33" i="3" s="1"/>
  <c r="C40" i="3"/>
  <c r="G40" i="3" s="1"/>
  <c r="C10" i="3"/>
  <c r="C38" i="3"/>
  <c r="N6" i="2" l="1"/>
  <c r="W4" i="1"/>
  <c r="C14" i="3"/>
  <c r="G10" i="3"/>
  <c r="G14" i="3" s="1"/>
  <c r="G46" i="3"/>
  <c r="G17" i="3"/>
  <c r="G21" i="3" s="1"/>
  <c r="C21" i="3"/>
  <c r="G31" i="3"/>
  <c r="G35" i="3" s="1"/>
  <c r="C35" i="3"/>
  <c r="G47" i="3"/>
  <c r="H6" i="2"/>
  <c r="H6" i="3"/>
  <c r="G38" i="3"/>
  <c r="G42" i="3" s="1"/>
  <c r="C42" i="3"/>
  <c r="G24" i="3"/>
  <c r="G28" i="3" s="1"/>
  <c r="C28" i="3"/>
  <c r="S11" i="1"/>
  <c r="Y11" i="1" s="1"/>
  <c r="G55" i="3"/>
  <c r="K56" i="3" s="1"/>
  <c r="G45" i="3" l="1"/>
  <c r="I28" i="3" l="1"/>
  <c r="I14" i="3"/>
  <c r="I21" i="3"/>
  <c r="I35" i="3"/>
  <c r="I42" i="3"/>
</calcChain>
</file>

<file path=xl/comments1.xml><?xml version="1.0" encoding="utf-8"?>
<comments xmlns="http://schemas.openxmlformats.org/spreadsheetml/2006/main">
  <authors>
    <author>Marcy Langer</author>
    <author/>
  </authors>
  <commentList>
    <comment ref="U12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  </r>
      </text>
    </comment>
    <comment ref="U13" authorId="0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Segundo SISP2.0: 40% para funções excluídas.</t>
        </r>
      </text>
    </comment>
    <comment ref="K23" authorId="1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  <author>Marcy Langer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P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Número da sprint
</t>
        </r>
      </text>
    </comment>
    <comment ref="Q7" authorId="2" shapeId="0">
      <text>
        <r>
          <rPr>
            <b/>
            <sz val="9"/>
            <color indexed="81"/>
            <rFont val="Segoe UI"/>
            <family val="2"/>
          </rPr>
          <t xml:space="preserve">Marcy Langer:
deflator
</t>
        </r>
      </text>
    </comment>
    <comment ref="R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indicativa local
</t>
        </r>
      </text>
    </comment>
    <comment ref="S7" authorId="2" shapeId="0">
      <text>
        <r>
          <rPr>
            <b/>
            <sz val="9"/>
            <color indexed="81"/>
            <rFont val="Segoe UI"/>
            <family val="2"/>
          </rPr>
          <t>Marcy Langer:</t>
        </r>
        <r>
          <rPr>
            <sz val="9"/>
            <color indexed="81"/>
            <rFont val="Segoe UI"/>
            <family val="2"/>
          </rPr>
          <t xml:space="preserve">
estimativa local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  <comment ref="B50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51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<sst xmlns="http://schemas.openxmlformats.org/spreadsheetml/2006/main" count="196" uniqueCount="113">
  <si>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</si>
  <si>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</si>
  <si>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</si>
  <si>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</si>
  <si>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</si>
  <si>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</si>
  <si>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</si>
  <si>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</si>
  <si>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</si>
  <si>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</si>
  <si>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</si>
  <si>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</si>
  <si>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</si>
  <si>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</si>
  <si>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</si>
  <si>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</si>
  <si>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</si>
  <si>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</si>
  <si>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</si>
  <si>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</si>
  <si>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</si>
  <si>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</si>
  <si>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</si>
  <si>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</si>
  <si>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</si>
  <si>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</si>
  <si>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</si>
  <si>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</si>
  <si>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</si>
  <si>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</si>
  <si>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</si>
  <si>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</si>
  <si>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</si>
  <si>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</si>
  <si>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</si>
  <si>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</si>
  <si>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</si>
  <si>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</si>
  <si>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</si>
  <si>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</si>
  <si>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</si>
  <si>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</si>
  <si>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</si>
  <si>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</si>
  <si>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</si>
  <si>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</si>
  <si>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</si>
  <si>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</si>
  <si>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</si>
  <si>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</si>
  <si>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</si>
  <si>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</si>
  <si>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</si>
  <si>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</si>
  <si>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</si>
  <si>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</si>
  <si>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</si>
  <si>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</si>
  <si>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</si>
  <si>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</si>
  <si>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</si>
  <si>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</si>
  <si>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</si>
  <si>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</si>
  <si>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</si>
  <si>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</si>
  <si>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Origem (Sprint)</t>
  </si>
  <si>
    <t>Sprint</t>
  </si>
  <si>
    <t xml:space="preserve"> Planilha de contagem de ponto de função</t>
  </si>
  <si>
    <t>PFs por Sprint</t>
  </si>
  <si>
    <t>PFs</t>
  </si>
  <si>
    <t>Nível de Detalhes</t>
  </si>
  <si>
    <t>Indicativa</t>
  </si>
  <si>
    <t>Detalhada</t>
  </si>
  <si>
    <t>Total PF LOCAL (contagem detalhada IFPUG)</t>
  </si>
  <si>
    <t>Total PF LOCAL (contagem estimativa)</t>
  </si>
  <si>
    <t>Total PF LOCAL (contagem indicativa)</t>
  </si>
  <si>
    <t>FUNÇÕES DE TRANSAÇÃO</t>
  </si>
  <si>
    <t>MANTER USUÁRIO</t>
  </si>
  <si>
    <t>I</t>
  </si>
  <si>
    <t>FUNÇÕES DE DADOS</t>
  </si>
  <si>
    <t>Localização</t>
  </si>
  <si>
    <t>Usuário</t>
  </si>
  <si>
    <t>Equipamento</t>
  </si>
  <si>
    <t>Inserir</t>
  </si>
  <si>
    <t xml:space="preserve">Alterar </t>
  </si>
  <si>
    <t>Listar</t>
  </si>
  <si>
    <t xml:space="preserve">Detalhar </t>
  </si>
  <si>
    <t>Desativar</t>
  </si>
  <si>
    <t>MANTER EQUIPAMENTO</t>
  </si>
  <si>
    <t>MANTER LOCALIZAÇÃO</t>
  </si>
  <si>
    <t>Excluir</t>
  </si>
  <si>
    <t>André Luiz</t>
  </si>
  <si>
    <t>Eits desafio</t>
  </si>
  <si>
    <t>X</t>
  </si>
  <si>
    <t>«Functional» RFU0001 - Inserir usuário</t>
  </si>
  <si>
    <t>«Functional» RFU0002 - Listar usuário</t>
  </si>
  <si>
    <t>«Functional» RFU0003 - Detalhar usuário</t>
  </si>
  <si>
    <t>«Functional» RFU0005 - Alterar usuário</t>
  </si>
  <si>
    <t>«Functional» RFU0006 - Desativar usuário</t>
  </si>
  <si>
    <t xml:space="preserve">«Functional» RFU0007 - Excluir cadastro de localização. </t>
  </si>
  <si>
    <t xml:space="preserve">«Functional» RFU0008 - Inserir cadastro de localização </t>
  </si>
  <si>
    <t xml:space="preserve">«Functional» RFU0009 - Alterar cadastro de localização </t>
  </si>
  <si>
    <t>«Functional» RFU0010 - Detalhar cadastro de localização.</t>
  </si>
  <si>
    <t>«Functional» RFU0011 - Listar cadastro de localização</t>
  </si>
  <si>
    <t>«Summary-Lvl» RFA0001 - Manter usuários</t>
  </si>
  <si>
    <t>«Summary-Lvl» RFA0002 - Manter localização</t>
  </si>
  <si>
    <t>«Summary-Lvl» RA0003 - Manter equipamento</t>
  </si>
  <si>
    <t>«Functional» RFU0012 - Excluir cadastro de equipamentos</t>
  </si>
  <si>
    <t xml:space="preserve">«Functional» RFU0016 - Detalhar cadastro de equipamento </t>
  </si>
  <si>
    <t>«Functional» RFU0015 - Listar cadastro de equipamentos</t>
  </si>
  <si>
    <t>«Functional» RFU0014 - Alterar cadastro de equipamento</t>
  </si>
  <si>
    <t>«Functional» RFU0013 - Inserir cadastro de equipamento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</si>
</sst>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0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4" xfId="0" applyFont="1" applyBorder="1"/>
    <xf numFmtId="10" fontId="4" fillId="0" borderId="14" xfId="0" applyNumberFormat="1" applyFont="1" applyBorder="1"/>
    <xf numFmtId="0" fontId="6" fillId="0" borderId="0" xfId="0" applyFont="1" applyFill="1" applyBorder="1"/>
    <xf numFmtId="166" fontId="4" fillId="3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5" xfId="0" applyFont="1" applyBorder="1"/>
    <xf numFmtId="0" fontId="4" fillId="0" borderId="13" xfId="0" applyFont="1" applyBorder="1"/>
    <xf numFmtId="0" fontId="4" fillId="0" borderId="16" xfId="0" applyFont="1" applyBorder="1"/>
    <xf numFmtId="166" fontId="4" fillId="4" borderId="0" xfId="3" applyNumberFormat="1" applyFont="1" applyFill="1" applyBorder="1" applyAlignment="1" applyProtection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8" borderId="1" xfId="3" applyNumberFormat="1" applyFont="1" applyFill="1" applyBorder="1" applyAlignment="1" applyProtection="1"/>
    <xf numFmtId="0" fontId="4" fillId="0" borderId="17" xfId="0" applyFont="1" applyBorder="1"/>
    <xf numFmtId="0" fontId="6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/>
    <xf numFmtId="2" fontId="4" fillId="0" borderId="18" xfId="0" applyNumberFormat="1" applyFont="1" applyBorder="1" applyAlignment="1">
      <alignment horizontal="center"/>
    </xf>
    <xf numFmtId="2" fontId="4" fillId="0" borderId="18" xfId="3" applyNumberFormat="1" applyFont="1" applyFill="1" applyBorder="1" applyAlignment="1" applyProtection="1">
      <alignment horizontal="center"/>
    </xf>
    <xf numFmtId="2" fontId="4" fillId="0" borderId="18" xfId="3" applyNumberFormat="1" applyFont="1" applyFill="1" applyBorder="1" applyAlignment="1" applyProtection="1"/>
    <xf numFmtId="2" fontId="6" fillId="0" borderId="18" xfId="3" applyNumberFormat="1" applyFont="1" applyFill="1" applyBorder="1" applyAlignment="1" applyProtection="1"/>
    <xf numFmtId="0" fontId="4" fillId="0" borderId="19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9" fillId="0" borderId="0" xfId="1" applyAlignment="1" applyProtection="1"/>
    <xf numFmtId="0" fontId="15" fillId="9" borderId="1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5" fillId="9" borderId="22" xfId="0" applyFont="1" applyFill="1" applyBorder="1" applyAlignment="1"/>
    <xf numFmtId="0" fontId="0" fillId="0" borderId="5" xfId="0" applyFont="1" applyFill="1" applyBorder="1" applyAlignment="1" applyProtection="1">
      <alignment horizontal="right" vertical="center"/>
      <protection locked="0"/>
    </xf>
    <xf numFmtId="0" fontId="2" fillId="0" borderId="23" xfId="0" applyFont="1" applyBorder="1" applyAlignment="1">
      <alignment horizontal="center" vertical="center"/>
    </xf>
    <xf numFmtId="0" fontId="18" fillId="0" borderId="0" xfId="0" applyFont="1"/>
    <xf numFmtId="0" fontId="5" fillId="0" borderId="0" xfId="0" applyFont="1" applyBorder="1" applyAlignment="1">
      <alignment horizontal="center" vertical="center" textRotation="90" wrapText="1"/>
    </xf>
    <xf numFmtId="0" fontId="4" fillId="0" borderId="24" xfId="0" applyFont="1" applyBorder="1"/>
    <xf numFmtId="0" fontId="4" fillId="0" borderId="25" xfId="0" applyFont="1" applyFill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Fill="1" applyBorder="1"/>
    <xf numFmtId="0" fontId="15" fillId="9" borderId="0" xfId="0" applyFont="1" applyFill="1" applyBorder="1" applyAlignment="1"/>
    <xf numFmtId="0" fontId="10" fillId="0" borderId="4" xfId="0" applyFont="1" applyBorder="1" applyAlignment="1">
      <alignment horizontal="center"/>
    </xf>
    <xf numFmtId="4" fontId="4" fillId="0" borderId="29" xfId="0" applyNumberFormat="1" applyFont="1" applyFill="1" applyBorder="1"/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3" fillId="0" borderId="30" xfId="0" applyFont="1" applyBorder="1"/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center"/>
    </xf>
    <xf numFmtId="165" fontId="4" fillId="2" borderId="1" xfId="4" applyFont="1" applyFill="1" applyBorder="1" applyAlignment="1" applyProtection="1"/>
    <xf numFmtId="0" fontId="3" fillId="0" borderId="20" xfId="0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3" fillId="0" borderId="20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5" fillId="0" borderId="20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164" fontId="4" fillId="2" borderId="1" xfId="2" applyFont="1" applyFill="1" applyBorder="1" applyAlignment="1" applyProtection="1">
      <alignment horizontal="right"/>
    </xf>
    <xf numFmtId="0" fontId="15" fillId="9" borderId="31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5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textRotation="90" wrapText="1"/>
    </xf>
    <xf numFmtId="0" fontId="11" fillId="9" borderId="39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16-45C9-938A-5BA113232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16-45C9-938A-5BA113232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16-45C9-938A-5BA1132326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16-45C9-938A-5BA1132326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16-45C9-938A-5BA11323267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6-45C9-938A-5BA11323267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6-45C9-938A-5BA11323267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6-45C9-938A-5BA11323267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6-45C9-938A-5BA11323267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16-45C9-938A-5BA1132326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0.43835616438356162</c:v>
                </c:pt>
                <c:pt idx="1">
                  <c:v>0</c:v>
                </c:pt>
                <c:pt idx="2">
                  <c:v>0.27397260273972601</c:v>
                </c:pt>
                <c:pt idx="3">
                  <c:v>0.28767123287671231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6-45C9-938A-5BA11323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38" name="Chart 10">
          <a:extLst>
            <a:ext uri="{FF2B5EF4-FFF2-40B4-BE49-F238E27FC236}">
              <a16:creationId xmlns:a16="http://schemas.microsoft.com/office/drawing/2014/main" id="{52C1A83C-5F7C-4C45-B72B-340BAE31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D235"/>
  <sheetViews>
    <sheetView showGridLines="0" zoomScaleSheetLayoutView="100" workbookViewId="0">
      <selection activeCell="M15" sqref="M15"/>
    </sheetView>
  </sheetViews>
  <sheetFormatPr defaultRowHeight="13.5" x14ac:dyDescent="0.25"/>
  <cols>
    <col min="1" max="15" width="2.7109375" style="1" customWidth="1"/>
    <col min="16" max="16" width="0.85546875" style="1" customWidth="1"/>
    <col min="17" max="17" width="2.71093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30" ht="12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30" ht="12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30" x14ac:dyDescent="0.25">
      <c r="A4" s="100" t="s">
        <v>1</v>
      </c>
      <c r="B4" s="100"/>
      <c r="C4" s="100"/>
      <c r="D4" s="100"/>
      <c r="E4" s="100"/>
      <c r="F4" s="104" t="s">
        <v>92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  <c r="R4" s="94" t="s">
        <v>2</v>
      </c>
      <c r="S4" s="94"/>
      <c r="T4" s="64">
        <v>0</v>
      </c>
      <c r="U4" s="94" t="s">
        <v>3</v>
      </c>
      <c r="V4" s="94"/>
      <c r="W4" s="107">
        <f>W5*T4</f>
        <v>0</v>
      </c>
      <c r="X4" s="107"/>
      <c r="Y4" s="107"/>
      <c r="Z4" s="107"/>
      <c r="AA4" s="107"/>
      <c r="AB4" s="107"/>
    </row>
    <row r="5" spans="1:30" x14ac:dyDescent="0.25">
      <c r="A5" s="100" t="s">
        <v>4</v>
      </c>
      <c r="B5" s="100"/>
      <c r="C5" s="100"/>
      <c r="D5" s="100"/>
      <c r="E5" s="100"/>
      <c r="F5" s="101" t="s">
        <v>93</v>
      </c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94" t="s">
        <v>5</v>
      </c>
      <c r="V5" s="94"/>
      <c r="W5" s="95">
        <f>Funções!U6</f>
        <v>73</v>
      </c>
      <c r="X5" s="95"/>
      <c r="Y5" s="95"/>
      <c r="Z5" s="95"/>
      <c r="AA5" s="95"/>
      <c r="AB5" s="95"/>
    </row>
    <row r="6" spans="1:30" x14ac:dyDescent="0.25">
      <c r="A6" s="100" t="s">
        <v>6</v>
      </c>
      <c r="B6" s="100"/>
      <c r="C6" s="100"/>
      <c r="D6" s="100"/>
      <c r="E6" s="100"/>
      <c r="F6" s="101" t="s">
        <v>93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</row>
    <row r="7" spans="1:30" x14ac:dyDescent="0.25">
      <c r="A7" s="100" t="s">
        <v>7</v>
      </c>
      <c r="B7" s="100"/>
      <c r="C7" s="100"/>
      <c r="D7" s="100"/>
      <c r="E7" s="100"/>
      <c r="F7" s="101" t="s">
        <v>92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98" t="s">
        <v>8</v>
      </c>
      <c r="V7" s="98"/>
      <c r="W7" s="98"/>
      <c r="X7" s="99" t="s">
        <v>92</v>
      </c>
      <c r="Y7" s="99"/>
      <c r="Z7" s="99"/>
      <c r="AA7" s="99"/>
      <c r="AB7" s="99"/>
    </row>
    <row r="8" spans="1:30" x14ac:dyDescent="0.25">
      <c r="A8" s="100" t="s">
        <v>9</v>
      </c>
      <c r="B8" s="100"/>
      <c r="C8" s="100"/>
      <c r="D8" s="100"/>
      <c r="E8" s="100"/>
      <c r="F8" s="101" t="s">
        <v>92</v>
      </c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98" t="s">
        <v>10</v>
      </c>
      <c r="V8" s="98"/>
      <c r="W8" s="98"/>
      <c r="X8" s="99" t="s">
        <v>92</v>
      </c>
      <c r="Y8" s="99"/>
      <c r="Z8" s="99"/>
      <c r="AA8" s="99"/>
      <c r="AB8" s="99"/>
    </row>
    <row r="9" spans="1:30" x14ac:dyDescent="0.25">
      <c r="A9" s="65"/>
    </row>
    <row r="10" spans="1:30" x14ac:dyDescent="0.25">
      <c r="A10" s="90" t="s">
        <v>11</v>
      </c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2"/>
      <c r="M10" s="3"/>
      <c r="N10" s="3"/>
      <c r="O10" s="102" t="s">
        <v>13</v>
      </c>
      <c r="P10" s="102"/>
      <c r="Q10" s="94" t="s">
        <v>59</v>
      </c>
      <c r="R10" s="94"/>
      <c r="S10" s="94"/>
      <c r="T10" s="94"/>
      <c r="U10" s="94" t="s">
        <v>14</v>
      </c>
      <c r="V10" s="94"/>
      <c r="W10" s="94"/>
      <c r="X10" s="94"/>
      <c r="Y10" s="94" t="s">
        <v>57</v>
      </c>
      <c r="Z10" s="94"/>
      <c r="AA10" s="94"/>
      <c r="AB10" s="94"/>
      <c r="AC10" s="4"/>
      <c r="AD10" s="4"/>
    </row>
    <row r="11" spans="1:30" x14ac:dyDescent="0.25">
      <c r="A11" s="90"/>
      <c r="B11" s="90"/>
      <c r="C11" s="91" t="s">
        <v>15</v>
      </c>
      <c r="D11" s="91"/>
      <c r="E11" s="91"/>
      <c r="F11" s="91"/>
      <c r="G11" s="91"/>
      <c r="H11" s="91"/>
      <c r="I11" s="91"/>
      <c r="J11" s="91"/>
      <c r="K11" s="91"/>
      <c r="L11" s="2" t="s">
        <v>94</v>
      </c>
      <c r="M11" s="3"/>
      <c r="N11" s="3"/>
      <c r="O11" s="102"/>
      <c r="P11" s="102"/>
      <c r="Q11" s="98" t="s">
        <v>16</v>
      </c>
      <c r="R11" s="98"/>
      <c r="S11" s="95">
        <f>Sumário!E55</f>
        <v>73</v>
      </c>
      <c r="T11" s="95"/>
      <c r="U11" s="97">
        <v>1</v>
      </c>
      <c r="V11" s="97"/>
      <c r="W11" s="97"/>
      <c r="X11" s="97"/>
      <c r="Y11" s="95">
        <f>S11*U11</f>
        <v>73</v>
      </c>
      <c r="Z11" s="95"/>
      <c r="AA11" s="95"/>
      <c r="AB11" s="95"/>
    </row>
    <row r="12" spans="1:30" x14ac:dyDescent="0.25">
      <c r="A12" s="90"/>
      <c r="B12" s="90"/>
      <c r="C12" s="91" t="s">
        <v>17</v>
      </c>
      <c r="D12" s="91"/>
      <c r="E12" s="91"/>
      <c r="F12" s="91"/>
      <c r="G12" s="91"/>
      <c r="H12" s="91"/>
      <c r="I12" s="91"/>
      <c r="J12" s="91"/>
      <c r="K12" s="91"/>
      <c r="L12" s="2"/>
      <c r="M12" s="3"/>
      <c r="N12" s="3"/>
      <c r="O12" s="102"/>
      <c r="P12" s="102"/>
      <c r="Q12" s="96" t="s">
        <v>18</v>
      </c>
      <c r="R12" s="96"/>
      <c r="S12" s="95">
        <f>Sumário!E56</f>
        <v>0</v>
      </c>
      <c r="T12" s="95"/>
      <c r="U12" s="97">
        <v>0.5</v>
      </c>
      <c r="V12" s="97"/>
      <c r="W12" s="97"/>
      <c r="X12" s="97"/>
      <c r="Y12" s="95">
        <f>S12*U12</f>
        <v>0</v>
      </c>
      <c r="Z12" s="95"/>
      <c r="AA12" s="95"/>
      <c r="AB12" s="95"/>
    </row>
    <row r="13" spans="1:30" x14ac:dyDescent="0.25">
      <c r="A13" s="90"/>
      <c r="B13" s="90"/>
      <c r="C13" s="91" t="s">
        <v>19</v>
      </c>
      <c r="D13" s="91"/>
      <c r="E13" s="91"/>
      <c r="F13" s="91"/>
      <c r="G13" s="91"/>
      <c r="H13" s="91"/>
      <c r="I13" s="91"/>
      <c r="J13" s="91"/>
      <c r="K13" s="91"/>
      <c r="L13" s="2"/>
      <c r="M13" s="3"/>
      <c r="N13" s="3"/>
      <c r="O13" s="102"/>
      <c r="P13" s="102"/>
      <c r="Q13" s="96" t="s">
        <v>20</v>
      </c>
      <c r="R13" s="96"/>
      <c r="S13" s="95">
        <f>Sumário!E57</f>
        <v>0</v>
      </c>
      <c r="T13" s="95"/>
      <c r="U13" s="97">
        <v>0.4</v>
      </c>
      <c r="V13" s="97"/>
      <c r="W13" s="97"/>
      <c r="X13" s="97"/>
      <c r="Y13" s="95">
        <f>S13*U13</f>
        <v>0</v>
      </c>
      <c r="Z13" s="95"/>
      <c r="AA13" s="95"/>
      <c r="AB13" s="95"/>
    </row>
    <row r="14" spans="1:30" x14ac:dyDescent="0.25">
      <c r="A14" s="90"/>
      <c r="B14" s="90"/>
      <c r="M14" s="3"/>
      <c r="N14" s="3"/>
      <c r="O14" s="102"/>
      <c r="P14" s="102"/>
      <c r="Q14" s="96"/>
      <c r="R14" s="96"/>
      <c r="S14" s="95">
        <f>Sumário!E58</f>
        <v>0</v>
      </c>
      <c r="T14" s="95"/>
      <c r="U14" s="97"/>
      <c r="V14" s="97"/>
      <c r="W14" s="97"/>
      <c r="X14" s="97"/>
      <c r="Y14" s="95">
        <f>S14*U14</f>
        <v>0</v>
      </c>
      <c r="Z14" s="95"/>
      <c r="AA14" s="95"/>
      <c r="AB14" s="95"/>
    </row>
    <row r="15" spans="1:30" x14ac:dyDescent="0.25">
      <c r="A15" s="76"/>
      <c r="B15" s="76"/>
      <c r="M15" s="3"/>
      <c r="N15" s="3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spans="1:30" x14ac:dyDescent="0.25">
      <c r="A16" s="76"/>
      <c r="B16" s="76"/>
      <c r="M16" s="3"/>
      <c r="N16" s="3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spans="1:28" x14ac:dyDescent="0.25">
      <c r="A17" s="90" t="s">
        <v>71</v>
      </c>
      <c r="B17" s="90"/>
      <c r="C17" s="91" t="s">
        <v>72</v>
      </c>
      <c r="D17" s="91"/>
      <c r="E17" s="91"/>
      <c r="F17" s="91"/>
      <c r="G17" s="91"/>
      <c r="H17" s="91"/>
      <c r="I17" s="91"/>
      <c r="J17" s="91"/>
      <c r="K17" s="91"/>
      <c r="L17" s="2"/>
      <c r="M17" s="3"/>
      <c r="N17" s="3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spans="1:28" x14ac:dyDescent="0.25">
      <c r="A18" s="90"/>
      <c r="B18" s="90"/>
      <c r="C18" s="91" t="s">
        <v>12</v>
      </c>
      <c r="D18" s="91"/>
      <c r="E18" s="91"/>
      <c r="F18" s="91"/>
      <c r="G18" s="91"/>
      <c r="H18" s="91"/>
      <c r="I18" s="91"/>
      <c r="J18" s="91"/>
      <c r="K18" s="91"/>
      <c r="L18" s="2"/>
      <c r="M18" s="3"/>
      <c r="N18" s="3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spans="1:28" x14ac:dyDescent="0.25">
      <c r="A19" s="90"/>
      <c r="B19" s="90"/>
      <c r="C19" s="91" t="s">
        <v>73</v>
      </c>
      <c r="D19" s="91"/>
      <c r="E19" s="91"/>
      <c r="F19" s="91"/>
      <c r="G19" s="91"/>
      <c r="H19" s="91"/>
      <c r="I19" s="91"/>
      <c r="J19" s="91"/>
      <c r="K19" s="91"/>
      <c r="L19" s="2" t="s">
        <v>94</v>
      </c>
      <c r="M19" s="3"/>
      <c r="N19" s="3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spans="1:28" x14ac:dyDescent="0.25">
      <c r="A20" s="90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2"/>
      <c r="M20" s="3"/>
      <c r="N20" s="3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spans="1:28" x14ac:dyDescent="0.25">
      <c r="A21" s="90"/>
      <c r="B21" s="90"/>
      <c r="M21" s="3"/>
      <c r="N21" s="3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12" customHeight="1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6"/>
    </row>
    <row r="23" spans="1:28" ht="12" customHeight="1" x14ac:dyDescent="0.3">
      <c r="B23" s="8"/>
      <c r="C23" s="8"/>
      <c r="F23" s="8"/>
      <c r="G23" s="8"/>
      <c r="H23" s="8"/>
      <c r="I23" s="8"/>
      <c r="J23" s="6"/>
      <c r="K23" s="92" t="s">
        <v>21</v>
      </c>
      <c r="L23" s="92"/>
      <c r="M23" s="92"/>
      <c r="N23" s="92"/>
      <c r="O23" s="92"/>
      <c r="P23" s="92"/>
      <c r="Q23" s="92"/>
      <c r="R23" s="92"/>
      <c r="S23" s="92"/>
    </row>
    <row r="24" spans="1:28" ht="12" customHeight="1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</row>
    <row r="25" spans="1:28" ht="12" customHeight="1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</row>
    <row r="26" spans="1:28" ht="12" customHeight="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</row>
    <row r="27" spans="1:28" ht="12" customHeight="1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</row>
    <row r="28" spans="1:28" ht="12" customHeight="1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</row>
    <row r="29" spans="1:28" ht="12" customHeight="1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</row>
    <row r="30" spans="1:28" ht="12" customHeight="1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2" customHeight="1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</row>
    <row r="32" spans="1:28" ht="12" customHeight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</row>
    <row r="33" spans="1:28" ht="12" customHeight="1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</row>
    <row r="34" spans="1:28" ht="12" customHeight="1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</row>
    <row r="35" spans="1:28" ht="12" customHeight="1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</row>
    <row r="36" spans="1:28" ht="12" customHeight="1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</row>
    <row r="37" spans="1:28" ht="12" customHeight="1" x14ac:dyDescent="0.2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</row>
    <row r="38" spans="1:28" ht="12" customHeight="1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</row>
    <row r="39" spans="1:28" ht="12" customHeight="1" x14ac:dyDescent="0.2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</row>
    <row r="40" spans="1:28" ht="12" customHeight="1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</row>
    <row r="41" spans="1:28" ht="12" customHeight="1" x14ac:dyDescent="0.2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</row>
    <row r="42" spans="1:28" ht="12" customHeight="1" x14ac:dyDescent="0.2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</row>
    <row r="43" spans="1:28" ht="12" customHeight="1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</row>
    <row r="44" spans="1:28" ht="12" customHeight="1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</row>
    <row r="45" spans="1:28" ht="12" customHeight="1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</row>
    <row r="46" spans="1:28" ht="12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92" t="s">
        <v>22</v>
      </c>
      <c r="L47" s="92"/>
      <c r="M47" s="92"/>
      <c r="N47" s="92"/>
      <c r="O47" s="92"/>
      <c r="P47" s="92"/>
      <c r="Q47" s="92"/>
      <c r="R47" s="92"/>
      <c r="S47" s="92"/>
    </row>
    <row r="48" spans="1:28" ht="12" customHeight="1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</row>
    <row r="49" spans="1:28" ht="12" customHeight="1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</row>
    <row r="50" spans="1:28" ht="12" customHeight="1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</row>
    <row r="51" spans="1:28" ht="12" customHeight="1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</row>
    <row r="52" spans="1:28" ht="12" customHeight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</row>
    <row r="53" spans="1:28" ht="12" customHeight="1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</row>
    <row r="54" spans="1:28" ht="12" customHeight="1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</row>
    <row r="55" spans="1:28" ht="12" customHeight="1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</row>
    <row r="56" spans="1:28" ht="12" customHeight="1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</row>
    <row r="57" spans="1:28" ht="12" customHeight="1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</row>
    <row r="58" spans="1:28" ht="12" customHeight="1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</row>
    <row r="59" spans="1:28" ht="12" customHeight="1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</row>
    <row r="60" spans="1:28" ht="12" customHeight="1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</row>
    <row r="61" spans="1:28" ht="12" customHeight="1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</row>
    <row r="62" spans="1:28" ht="12" customHeight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</row>
    <row r="63" spans="1:28" ht="12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</row>
    <row r="64" spans="1:28" ht="12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</row>
    <row r="65" spans="1:28" ht="12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</row>
    <row r="66" spans="1:28" ht="12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</row>
    <row r="67" spans="1:28" ht="12" customHeight="1" x14ac:dyDescent="0.2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</row>
    <row r="68" spans="1:28" ht="12" customHeight="1" x14ac:dyDescent="0.25">
      <c r="B68" s="6"/>
      <c r="C68" s="6"/>
      <c r="D68" s="6"/>
      <c r="E68" s="6"/>
      <c r="F68" s="6"/>
      <c r="G68" s="6"/>
      <c r="H68" s="6"/>
      <c r="I68" s="6"/>
      <c r="J68" s="6"/>
    </row>
    <row r="69" spans="1:28" ht="12" customHeight="1" x14ac:dyDescent="0.25">
      <c r="B69" s="6"/>
      <c r="C69" s="6"/>
      <c r="D69" s="6"/>
      <c r="E69" s="6"/>
      <c r="F69" s="6"/>
      <c r="G69" s="6"/>
      <c r="H69" s="6"/>
      <c r="I69" s="6"/>
      <c r="J69" s="6"/>
    </row>
    <row r="70" spans="1:28" ht="12" customHeight="1" x14ac:dyDescent="0.25">
      <c r="B70" s="6"/>
      <c r="C70" s="6"/>
      <c r="D70" s="6"/>
      <c r="E70" s="6"/>
      <c r="F70" s="6"/>
      <c r="G70" s="6"/>
      <c r="H70" s="6"/>
      <c r="I70" s="6"/>
      <c r="J70" s="6"/>
    </row>
    <row r="71" spans="1:28" ht="12" customHeight="1" x14ac:dyDescent="0.25">
      <c r="B71" s="6"/>
      <c r="C71" s="6"/>
      <c r="D71" s="6"/>
      <c r="E71" s="6"/>
      <c r="F71" s="6"/>
      <c r="G71" s="6"/>
      <c r="H71" s="6"/>
      <c r="I71" s="6"/>
      <c r="J71" s="6"/>
    </row>
    <row r="72" spans="1:28" ht="12" customHeight="1" x14ac:dyDescent="0.25">
      <c r="B72" s="6"/>
      <c r="C72" s="6"/>
      <c r="D72" s="6"/>
      <c r="E72" s="6"/>
      <c r="F72" s="6"/>
      <c r="G72" s="6"/>
      <c r="H72" s="6"/>
      <c r="I72" s="6"/>
      <c r="J72" s="6"/>
    </row>
    <row r="73" spans="1:28" ht="12" customHeight="1" x14ac:dyDescent="0.25">
      <c r="B73" s="6"/>
      <c r="C73" s="6"/>
      <c r="D73" s="6"/>
      <c r="E73" s="6"/>
      <c r="F73" s="6"/>
      <c r="G73" s="6"/>
      <c r="H73" s="6"/>
      <c r="I73" s="6"/>
      <c r="J73" s="6"/>
    </row>
    <row r="74" spans="1:28" ht="12" customHeight="1" x14ac:dyDescent="0.25">
      <c r="B74" s="6"/>
      <c r="C74" s="6"/>
      <c r="D74" s="6"/>
      <c r="E74" s="6"/>
      <c r="F74" s="6"/>
      <c r="G74" s="6"/>
      <c r="H74" s="6"/>
      <c r="I74" s="6"/>
      <c r="J74" s="6"/>
    </row>
    <row r="75" spans="1:28" ht="12" customHeight="1" x14ac:dyDescent="0.25">
      <c r="B75" s="6"/>
      <c r="C75" s="6"/>
      <c r="D75" s="6"/>
      <c r="E75" s="6"/>
      <c r="F75" s="6"/>
      <c r="G75" s="6"/>
      <c r="H75" s="6"/>
      <c r="I75" s="6"/>
      <c r="J75" s="6"/>
    </row>
    <row r="76" spans="1:28" ht="12" customHeight="1" x14ac:dyDescent="0.25">
      <c r="B76" s="6"/>
      <c r="C76" s="6"/>
      <c r="D76" s="6"/>
      <c r="E76" s="6"/>
      <c r="F76" s="6"/>
      <c r="G76" s="6"/>
      <c r="H76" s="6"/>
      <c r="I76" s="6"/>
      <c r="J76" s="6"/>
    </row>
    <row r="77" spans="1:28" ht="12" customHeight="1" x14ac:dyDescent="0.25">
      <c r="B77" s="6"/>
      <c r="C77" s="6"/>
      <c r="D77" s="6"/>
      <c r="E77" s="6"/>
      <c r="F77" s="6"/>
      <c r="G77" s="6"/>
      <c r="H77" s="6"/>
      <c r="I77" s="6"/>
      <c r="J77" s="6"/>
    </row>
    <row r="78" spans="1:28" ht="12" customHeight="1" x14ac:dyDescent="0.25">
      <c r="B78" s="6"/>
      <c r="C78" s="6"/>
      <c r="D78" s="6"/>
      <c r="E78" s="6"/>
      <c r="F78" s="6"/>
      <c r="G78" s="6"/>
      <c r="H78" s="6"/>
      <c r="I78" s="6"/>
      <c r="J78" s="6"/>
    </row>
    <row r="79" spans="1:28" ht="12" customHeight="1" x14ac:dyDescent="0.25">
      <c r="B79" s="6"/>
      <c r="C79" s="6"/>
      <c r="D79" s="6"/>
      <c r="E79" s="6"/>
      <c r="F79" s="6"/>
      <c r="G79" s="6"/>
      <c r="H79" s="6"/>
      <c r="I79" s="6"/>
      <c r="J79" s="6"/>
    </row>
    <row r="80" spans="1:28" ht="12" customHeight="1" x14ac:dyDescent="0.25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25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25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25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25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25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25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25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25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25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25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25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25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25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25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25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2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2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2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2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2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2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2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2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2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2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2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2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2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25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25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25"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2" customHeight="1" x14ac:dyDescent="0.25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25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25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25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25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25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ht="12" customHeight="1" x14ac:dyDescent="0.25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25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25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25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25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25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2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2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2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2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2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2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2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2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2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2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2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2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2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2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2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2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25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25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25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25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25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25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25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25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25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25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25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25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25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25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25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25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25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 x14ac:dyDescent="0.25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 x14ac:dyDescent="0.25">
      <c r="B162" s="6"/>
      <c r="C162" s="6"/>
      <c r="D162" s="6"/>
      <c r="E162" s="6"/>
      <c r="F162" s="6"/>
      <c r="G162" s="6"/>
      <c r="H162" s="6"/>
      <c r="I162" s="6"/>
      <c r="J162" s="6"/>
    </row>
    <row r="163" spans="2:10" ht="12" customHeight="1" x14ac:dyDescent="0.25">
      <c r="B163" s="6"/>
      <c r="C163" s="6"/>
      <c r="D163" s="6"/>
      <c r="E163" s="6"/>
      <c r="F163" s="6"/>
      <c r="G163" s="6"/>
      <c r="H163" s="6"/>
      <c r="I163" s="6"/>
      <c r="J163" s="6"/>
    </row>
    <row r="164" spans="2:10" ht="12" customHeight="1" x14ac:dyDescent="0.25">
      <c r="B164" s="6"/>
      <c r="C164" s="6"/>
      <c r="D164" s="6"/>
      <c r="E164" s="6"/>
      <c r="F164" s="6"/>
      <c r="G164" s="6"/>
      <c r="H164" s="6"/>
      <c r="I164" s="6"/>
      <c r="J164" s="6"/>
    </row>
    <row r="165" spans="2:10" ht="12" customHeight="1" x14ac:dyDescent="0.25">
      <c r="B165" s="6"/>
      <c r="C165" s="6"/>
      <c r="D165" s="6"/>
      <c r="E165" s="6"/>
      <c r="F165" s="6"/>
      <c r="G165" s="6"/>
      <c r="H165" s="6"/>
      <c r="I165" s="6"/>
      <c r="J165" s="6"/>
    </row>
    <row r="166" spans="2:10" ht="12" customHeight="1" x14ac:dyDescent="0.25">
      <c r="B166" s="6"/>
      <c r="C166" s="6"/>
      <c r="D166" s="6"/>
      <c r="E166" s="6"/>
      <c r="F166" s="6"/>
      <c r="G166" s="6"/>
      <c r="H166" s="6"/>
      <c r="I166" s="6"/>
      <c r="J166" s="6"/>
    </row>
    <row r="167" spans="2:10" ht="12" customHeight="1" x14ac:dyDescent="0.25">
      <c r="B167" s="6"/>
      <c r="C167" s="6"/>
      <c r="D167" s="6"/>
      <c r="E167" s="6"/>
      <c r="F167" s="6"/>
      <c r="G167" s="6"/>
      <c r="H167" s="6"/>
      <c r="I167" s="6"/>
      <c r="J167" s="6"/>
    </row>
    <row r="168" spans="2:10" ht="12" customHeight="1" x14ac:dyDescent="0.25">
      <c r="B168" s="6"/>
      <c r="C168" s="6"/>
      <c r="D168" s="6"/>
      <c r="E168" s="6"/>
      <c r="F168" s="6"/>
      <c r="G168" s="6"/>
      <c r="H168" s="6"/>
      <c r="I168" s="6"/>
      <c r="J168" s="6"/>
    </row>
    <row r="169" spans="2:10" ht="12" customHeight="1" x14ac:dyDescent="0.25">
      <c r="B169" s="6"/>
      <c r="C169" s="6"/>
      <c r="D169" s="6"/>
      <c r="E169" s="6"/>
      <c r="F169" s="6"/>
      <c r="G169" s="6"/>
      <c r="H169" s="6"/>
      <c r="I169" s="6"/>
      <c r="J169" s="6"/>
    </row>
    <row r="170" spans="2:10" ht="12" customHeight="1" x14ac:dyDescent="0.25">
      <c r="B170" s="6"/>
      <c r="C170" s="6"/>
      <c r="D170" s="6"/>
      <c r="E170" s="6"/>
      <c r="F170" s="6"/>
      <c r="G170" s="6"/>
      <c r="H170" s="6"/>
      <c r="I170" s="6"/>
      <c r="J170" s="6"/>
    </row>
    <row r="171" spans="2:10" ht="12" customHeight="1" x14ac:dyDescent="0.25">
      <c r="B171" s="6"/>
      <c r="C171" s="6"/>
      <c r="D171" s="6"/>
      <c r="E171" s="6"/>
      <c r="F171" s="6"/>
      <c r="G171" s="6"/>
      <c r="H171" s="6"/>
      <c r="I171" s="6"/>
      <c r="J171" s="6"/>
    </row>
    <row r="172" spans="2:10" ht="12" customHeight="1" x14ac:dyDescent="0.25">
      <c r="B172" s="6"/>
      <c r="C172" s="6"/>
      <c r="D172" s="6"/>
      <c r="E172" s="6"/>
      <c r="F172" s="6"/>
      <c r="G172" s="6"/>
      <c r="H172" s="6"/>
      <c r="I172" s="6"/>
      <c r="J172" s="6"/>
    </row>
    <row r="173" spans="2:10" ht="12" customHeight="1" x14ac:dyDescent="0.25">
      <c r="B173" s="6"/>
      <c r="C173" s="6"/>
      <c r="D173" s="6"/>
      <c r="E173" s="6"/>
      <c r="F173" s="6"/>
      <c r="G173" s="6"/>
      <c r="H173" s="6"/>
      <c r="I173" s="6"/>
      <c r="J173" s="6"/>
    </row>
    <row r="174" spans="2:10" ht="12" customHeight="1" x14ac:dyDescent="0.25">
      <c r="B174" s="6"/>
      <c r="C174" s="6"/>
      <c r="D174" s="6"/>
      <c r="E174" s="6"/>
      <c r="F174" s="6"/>
      <c r="G174" s="6"/>
      <c r="H174" s="6"/>
      <c r="I174" s="6"/>
      <c r="J174" s="6"/>
    </row>
    <row r="175" spans="2:10" ht="12" customHeight="1" x14ac:dyDescent="0.25">
      <c r="B175" s="6"/>
      <c r="C175" s="6"/>
      <c r="D175" s="6"/>
      <c r="E175" s="6"/>
      <c r="F175" s="6"/>
      <c r="G175" s="6"/>
      <c r="H175" s="6"/>
      <c r="I175" s="6"/>
      <c r="J175" s="6"/>
    </row>
    <row r="176" spans="2:10" ht="12" customHeight="1" x14ac:dyDescent="0.25"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2" customHeight="1" x14ac:dyDescent="0.25"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2" customHeight="1" x14ac:dyDescent="0.25"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2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ht="12" customHeight="1" x14ac:dyDescent="0.25"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2" customHeight="1" x14ac:dyDescent="0.25"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2" customHeight="1" x14ac:dyDescent="0.25"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2" customHeight="1" x14ac:dyDescent="0.25"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2" customHeight="1" x14ac:dyDescent="0.25"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2" customHeight="1" x14ac:dyDescent="0.25"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2" customHeight="1" x14ac:dyDescent="0.25"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2" customHeight="1" x14ac:dyDescent="0.25"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2" customHeight="1" x14ac:dyDescent="0.25"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2" customHeight="1" x14ac:dyDescent="0.25"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2" customHeight="1" x14ac:dyDescent="0.25"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2" customHeight="1" x14ac:dyDescent="0.25"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2" customHeight="1" x14ac:dyDescent="0.25">
      <c r="B192" s="6"/>
      <c r="C192" s="6"/>
      <c r="D192" s="6"/>
      <c r="E192" s="6"/>
      <c r="F192" s="6"/>
      <c r="G192" s="6"/>
      <c r="H192" s="6"/>
      <c r="I192" s="6"/>
      <c r="J192" s="6"/>
    </row>
    <row r="193" spans="2:10" ht="12" customHeight="1" x14ac:dyDescent="0.25">
      <c r="B193" s="6"/>
      <c r="C193" s="6"/>
      <c r="D193" s="6"/>
      <c r="E193" s="6"/>
      <c r="F193" s="6"/>
      <c r="G193" s="6"/>
      <c r="H193" s="6"/>
      <c r="I193" s="6"/>
      <c r="J193" s="6"/>
    </row>
    <row r="194" spans="2:10" ht="12" customHeight="1" x14ac:dyDescent="0.25">
      <c r="B194" s="6"/>
      <c r="C194" s="6"/>
      <c r="D194" s="6"/>
      <c r="E194" s="6"/>
      <c r="F194" s="6"/>
      <c r="G194" s="6"/>
      <c r="H194" s="6"/>
      <c r="I194" s="6"/>
      <c r="J194" s="6"/>
    </row>
    <row r="195" spans="2:10" ht="12" customHeight="1" x14ac:dyDescent="0.25">
      <c r="B195" s="6"/>
      <c r="C195" s="6"/>
      <c r="D195" s="6"/>
      <c r="E195" s="6"/>
      <c r="F195" s="6"/>
      <c r="G195" s="6"/>
      <c r="H195" s="6"/>
      <c r="I195" s="6"/>
      <c r="J195" s="6"/>
    </row>
    <row r="196" spans="2:10" ht="12" customHeight="1" x14ac:dyDescent="0.25"/>
    <row r="197" spans="2:10" ht="12" customHeight="1" x14ac:dyDescent="0.25"/>
    <row r="198" spans="2:10" ht="12" customHeight="1" x14ac:dyDescent="0.25"/>
    <row r="199" spans="2:10" ht="12" customHeight="1" x14ac:dyDescent="0.25"/>
    <row r="200" spans="2:10" ht="12" customHeight="1" x14ac:dyDescent="0.25"/>
    <row r="201" spans="2:10" ht="12" customHeight="1" x14ac:dyDescent="0.25"/>
    <row r="202" spans="2:10" ht="12" customHeight="1" x14ac:dyDescent="0.25"/>
    <row r="203" spans="2:10" ht="12" customHeight="1" x14ac:dyDescent="0.25"/>
    <row r="204" spans="2:10" ht="12" customHeight="1" x14ac:dyDescent="0.25"/>
    <row r="205" spans="2:10" ht="12" customHeight="1" x14ac:dyDescent="0.25"/>
    <row r="206" spans="2:10" ht="12" customHeight="1" x14ac:dyDescent="0.25"/>
    <row r="207" spans="2:10" ht="12" customHeight="1" x14ac:dyDescent="0.25"/>
    <row r="208" spans="2:10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</sheetData>
  <mergeCells count="54">
    <mergeCell ref="A6:E6"/>
    <mergeCell ref="F6:AB6"/>
    <mergeCell ref="W4:AB4"/>
    <mergeCell ref="A5:E5"/>
    <mergeCell ref="F5:T5"/>
    <mergeCell ref="U5:V5"/>
    <mergeCell ref="W5:AB5"/>
    <mergeCell ref="A1:AB3"/>
    <mergeCell ref="A4:E4"/>
    <mergeCell ref="F4:Q4"/>
    <mergeCell ref="R4:S4"/>
    <mergeCell ref="U4:V4"/>
    <mergeCell ref="U7:W7"/>
    <mergeCell ref="X7:AB7"/>
    <mergeCell ref="A8:E8"/>
    <mergeCell ref="F8:T8"/>
    <mergeCell ref="U8:W8"/>
    <mergeCell ref="A7:E7"/>
    <mergeCell ref="F7:T7"/>
    <mergeCell ref="X8:AB8"/>
    <mergeCell ref="A48:AB67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C11:K11"/>
    <mergeCell ref="S13:T13"/>
    <mergeCell ref="O10:P14"/>
    <mergeCell ref="U13:X13"/>
    <mergeCell ref="Q10:T10"/>
    <mergeCell ref="Q11:R11"/>
    <mergeCell ref="K23:S23"/>
    <mergeCell ref="K47:S47"/>
    <mergeCell ref="A24:AB45"/>
    <mergeCell ref="U10:X10"/>
    <mergeCell ref="Y10:AB10"/>
    <mergeCell ref="Y11:AB11"/>
    <mergeCell ref="S12:T12"/>
    <mergeCell ref="Y13:AB13"/>
    <mergeCell ref="C13:K13"/>
    <mergeCell ref="Q13:R13"/>
    <mergeCell ref="C10:K10"/>
    <mergeCell ref="S11:T11"/>
    <mergeCell ref="U11:X11"/>
    <mergeCell ref="A17:B21"/>
    <mergeCell ref="C17:K17"/>
    <mergeCell ref="C18:K18"/>
    <mergeCell ref="C19:K19"/>
    <mergeCell ref="C20:K20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117"/>
  <sheetViews>
    <sheetView showGridLines="0" tabSelected="1" zoomScaleNormal="100" zoomScaleSheetLayoutView="100" workbookViewId="0">
      <pane ySplit="7" topLeftCell="A8" activePane="bottomLeft" state="frozen"/>
      <selection pane="bottomLeft" activeCell="J32" sqref="J32"/>
    </sheetView>
  </sheetViews>
  <sheetFormatPr defaultRowHeight="12.75" x14ac:dyDescent="0.25"/>
  <cols>
    <col min="1" max="5" width="7.7109375" style="9" customWidth="1"/>
    <col min="6" max="6" width="29.7109375" style="9" customWidth="1"/>
    <col min="7" max="7" width="5.42578125" style="9" customWidth="1"/>
    <col min="8" max="8" width="7" style="9" bestFit="1" customWidth="1"/>
    <col min="9" max="9" width="3.7109375" style="9" customWidth="1"/>
    <col min="10" max="10" width="5.42578125" style="9" customWidth="1"/>
    <col min="11" max="11" width="4" style="9" hidden="1" customWidth="1"/>
    <col min="12" max="12" width="1.85546875" style="9" hidden="1" customWidth="1"/>
    <col min="13" max="13" width="9.7109375" style="9" customWidth="1"/>
    <col min="14" max="14" width="5.7109375" style="9" customWidth="1"/>
    <col min="15" max="15" width="9.42578125" style="9" customWidth="1"/>
    <col min="16" max="16" width="15.140625" style="9" bestFit="1" customWidth="1"/>
    <col min="17" max="18" width="12.85546875" style="9" hidden="1" customWidth="1"/>
    <col min="19" max="19" width="16.7109375" style="9" hidden="1" customWidth="1"/>
    <col min="20" max="20" width="14.5703125" style="9" customWidth="1"/>
    <col min="21" max="21" width="37.85546875" style="9" customWidth="1"/>
    <col min="22" max="22" width="16.7109375" style="9" hidden="1" customWidth="1"/>
    <col min="23" max="23" width="12.7109375" style="9" customWidth="1"/>
    <col min="24" max="16384" width="9.140625" style="9"/>
  </cols>
  <sheetData>
    <row r="1" spans="1:22" s="1" customFormat="1" ht="15" customHeight="1" x14ac:dyDescent="0.25">
      <c r="A1" s="112" t="s">
        <v>68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0"/>
    </row>
    <row r="2" spans="1:22" s="1" customFormat="1" ht="15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0"/>
    </row>
    <row r="3" spans="1:22" s="1" customFormat="1" ht="15" customHeight="1" x14ac:dyDescent="0.25">
      <c r="A3" s="114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10"/>
    </row>
    <row r="4" spans="1:22" s="1" customFormat="1" ht="15" customHeight="1" x14ac:dyDescent="0.25">
      <c r="A4" s="115" t="str">
        <f>Contagem!A5&amp;" : "&amp;Contagem!F5</f>
        <v>Aplicação : Eits desafio</v>
      </c>
      <c r="B4" s="115"/>
      <c r="C4" s="115"/>
      <c r="D4" s="115"/>
      <c r="E4" s="115"/>
      <c r="F4" s="115"/>
      <c r="G4" s="116" t="str">
        <f>Contagem!A6&amp;" : "&amp;Contagem!F6</f>
        <v>Projeto : Eits desafio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</row>
    <row r="5" spans="1:22" s="12" customFormat="1" ht="15" customHeight="1" x14ac:dyDescent="0.2">
      <c r="A5" s="117" t="str">
        <f>Contagem!A7&amp;" : "&amp;Contagem!F7</f>
        <v>Responsável : André Luiz</v>
      </c>
      <c r="B5" s="117"/>
      <c r="C5" s="117"/>
      <c r="D5" s="117"/>
      <c r="E5" s="117"/>
      <c r="F5" s="117"/>
      <c r="G5" s="116" t="str">
        <f>Contagem!A8&amp;" : "&amp;Contagem!F8</f>
        <v>Revisor : André Luiz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</row>
    <row r="6" spans="1:22" s="12" customFormat="1" ht="15" customHeight="1" x14ac:dyDescent="0.2">
      <c r="A6" s="125" t="str">
        <f>Contagem!A4&amp;" : "&amp;Contagem!F4</f>
        <v>Empresa : André Luiz</v>
      </c>
      <c r="B6" s="125"/>
      <c r="C6" s="125"/>
      <c r="D6" s="125"/>
      <c r="E6" s="125"/>
      <c r="F6" s="116" t="str">
        <f>Contagem!R4&amp;" = "&amp;VALUE(Contagem!T4)</f>
        <v>R$/PF = 0</v>
      </c>
      <c r="G6" s="116"/>
      <c r="H6" s="110" t="str">
        <f>" Custo= "&amp;DOLLAR(Contagem!W4)</f>
        <v xml:space="preserve"> Custo= R$ 0,00</v>
      </c>
      <c r="I6" s="110"/>
      <c r="J6" s="110"/>
      <c r="K6" s="110"/>
      <c r="L6" s="110"/>
      <c r="M6" s="110"/>
      <c r="N6" s="111" t="str">
        <f>"PF  = "&amp;VALUE(Contagem!W5)</f>
        <v>PF  = 73</v>
      </c>
      <c r="O6" s="111"/>
      <c r="P6" s="87"/>
      <c r="R6" s="70"/>
      <c r="S6" s="70"/>
      <c r="T6" s="85" t="str">
        <f>" Total PF LOCAL= "</f>
        <v xml:space="preserve"> Total PF LOCAL= </v>
      </c>
      <c r="U6" s="86">
        <f>IF(Contagem!L17="x", Sumário!G51, IF(Contagem!L18="x", Sumário!G50, IF(Contagem!L19="x", Sumário!G49, 0)))</f>
        <v>73</v>
      </c>
      <c r="V6" s="71"/>
    </row>
    <row r="7" spans="1:22" s="12" customFormat="1" ht="15" customHeight="1" x14ac:dyDescent="0.25">
      <c r="A7" s="118" t="s">
        <v>65</v>
      </c>
      <c r="B7" s="118"/>
      <c r="C7" s="118"/>
      <c r="D7" s="118"/>
      <c r="E7" s="118"/>
      <c r="F7" s="118"/>
      <c r="G7" s="66" t="s">
        <v>23</v>
      </c>
      <c r="H7" s="67" t="s">
        <v>64</v>
      </c>
      <c r="I7" s="68" t="s">
        <v>24</v>
      </c>
      <c r="J7" s="68" t="s">
        <v>25</v>
      </c>
      <c r="K7" s="68" t="s">
        <v>26</v>
      </c>
      <c r="L7" s="68" t="s">
        <v>27</v>
      </c>
      <c r="M7" s="68" t="s">
        <v>28</v>
      </c>
      <c r="N7" s="68" t="s">
        <v>5</v>
      </c>
      <c r="O7" s="69" t="s">
        <v>57</v>
      </c>
      <c r="P7" s="72" t="s">
        <v>66</v>
      </c>
      <c r="Q7" s="82"/>
      <c r="R7" s="82"/>
      <c r="S7" s="82"/>
      <c r="T7" s="108" t="s">
        <v>29</v>
      </c>
      <c r="U7" s="109"/>
      <c r="V7" s="72"/>
    </row>
    <row r="8" spans="1:22" ht="18" customHeight="1" x14ac:dyDescent="0.25">
      <c r="A8" s="119" t="s">
        <v>77</v>
      </c>
      <c r="B8" s="120"/>
      <c r="C8" s="120"/>
      <c r="D8" s="120"/>
      <c r="E8" s="120"/>
      <c r="F8" s="121"/>
      <c r="G8" s="16"/>
      <c r="H8" s="16"/>
      <c r="I8" s="16"/>
      <c r="J8" s="16"/>
      <c r="K8" s="16"/>
      <c r="L8" s="17"/>
      <c r="M8" s="18"/>
      <c r="N8" s="19"/>
      <c r="O8" s="20"/>
      <c r="P8" s="16"/>
      <c r="Q8" s="83">
        <f>IF(H8="I", Sumário!$F$55, IF(H8="A", Sumário!$F$56, Sumário!$F$57))</f>
        <v>0.4</v>
      </c>
      <c r="R8" s="83" t="b">
        <f>IF(G8="ALI",35*Q8,IF(G8="AIE",15*Q8))</f>
        <v>0</v>
      </c>
      <c r="S8" s="14" t="b">
        <f>IF(OR(G8="EE",G8="CE"),IF(H8="I",4,(4*Q8)),IF(G8="SE",IF(H8="I",5, 5*Q8),IF(G8="ALI", IF(H8="I", 7, 7*Q8), IF(G8="AIE", IF(H8="I", 5, 5*Q8)))))</f>
        <v>0</v>
      </c>
      <c r="T8" s="14"/>
      <c r="U8" s="14"/>
      <c r="V8" s="14"/>
    </row>
    <row r="9" spans="1:22" ht="18" customHeight="1" x14ac:dyDescent="0.25">
      <c r="A9" s="122" t="s">
        <v>78</v>
      </c>
      <c r="B9" s="123"/>
      <c r="C9" s="123"/>
      <c r="D9" s="123"/>
      <c r="E9" s="123"/>
      <c r="F9" s="124"/>
      <c r="G9" s="16"/>
      <c r="H9" s="16"/>
      <c r="I9" s="16"/>
      <c r="J9" s="16"/>
      <c r="K9" s="16" t="str">
        <f t="shared" ref="K9:K26" si="0">CONCATENATE(G9,L9)</f>
        <v/>
      </c>
      <c r="L9" s="17" t="str">
        <f t="shared" ref="L9:L15" si="1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/>
      </c>
      <c r="M9" s="18" t="str">
        <f t="shared" ref="M9:M26" si="2">IF(L9="L","Baixa",IF(L9="A","Média",IF(L9="","","Alta")))</f>
        <v/>
      </c>
      <c r="N9" s="19" t="str">
        <f t="shared" ref="N9:N26" si="3">IF(ISBLANK(G9),"",IF(G9="ALI",IF(L9="L",7,IF(L9="A",10,15)),IF(G9="AIE",IF(L9="L",5,IF(L9="A",7,10)),IF(G9="SE",IF(L9="L",4,IF(L9="A",5,7)),IF(OR(G9="EE",G9="CE"),IF(L9="L",3,IF(L9="A",4,6)))))))</f>
        <v/>
      </c>
      <c r="O9" s="20" t="str">
        <f>IF(H9="I",N9*Contagem!$U$11,IF(H9="E",N9*Contagem!$U$13,IF(H9="A",N9*Contagem!$U$12,IF(H9="T",N9*Contagem!$U$14,""))))</f>
        <v/>
      </c>
      <c r="P9" s="16"/>
      <c r="Q9" s="83">
        <f>IF(H9="I", Sumário!$F$55, IF(H9="A", Sumário!$F$56, Sumário!$F$57))</f>
        <v>0.4</v>
      </c>
      <c r="R9" s="83" t="b">
        <f t="shared" ref="R9:R26" si="4">IF(G9="ALI",35*Q9,IF(G9="AIE",15*Q9))</f>
        <v>0</v>
      </c>
      <c r="S9" s="14" t="b">
        <f t="shared" ref="S9:S26" si="5">IF(OR(G9="EE",G9="CE"),IF(H9="I",4,(4*Q9)),IF(G9="SE",IF(H9="I",5, 5*Q9),IF(G9="ALI", IF(H9="I", 7, 7*Q9), IF(G9="AIE", IF(H9="I", 5, 5*Q9)))))</f>
        <v>0</v>
      </c>
      <c r="T9" s="14" t="s">
        <v>105</v>
      </c>
      <c r="U9" s="14"/>
      <c r="V9" s="14"/>
    </row>
    <row r="10" spans="1:22" ht="18" customHeight="1" x14ac:dyDescent="0.25">
      <c r="A10" s="13" t="s">
        <v>84</v>
      </c>
      <c r="B10" s="14"/>
      <c r="C10" s="14"/>
      <c r="D10" s="14"/>
      <c r="E10" s="14"/>
      <c r="F10" s="15"/>
      <c r="G10" s="16" t="s">
        <v>35</v>
      </c>
      <c r="H10" s="16" t="s">
        <v>79</v>
      </c>
      <c r="I10" s="16">
        <v>10</v>
      </c>
      <c r="J10" s="16">
        <v>1</v>
      </c>
      <c r="K10" s="16" t="str">
        <f t="shared" si="0"/>
        <v>EEL</v>
      </c>
      <c r="L10" s="17" t="str">
        <f t="shared" si="1"/>
        <v>L</v>
      </c>
      <c r="M10" s="18" t="str">
        <f t="shared" si="2"/>
        <v>Baixa</v>
      </c>
      <c r="N10" s="19">
        <f t="shared" si="3"/>
        <v>3</v>
      </c>
      <c r="O10" s="20">
        <f>IF(H10="I",N10*Contagem!$U$11,IF(H10="E",N10*Contagem!$U$13,IF(H10="A",N10*Contagem!$U$12,IF(H10="T",N10*Contagem!$U$14,""))))</f>
        <v>3</v>
      </c>
      <c r="P10" s="16"/>
      <c r="Q10" s="83">
        <f>IF(H10="I", Sumário!$F$55, IF(H10="A", Sumário!$F$56, Sumário!$F$57))</f>
        <v>1</v>
      </c>
      <c r="R10" s="83" t="b">
        <f t="shared" si="4"/>
        <v>0</v>
      </c>
      <c r="S10" s="14">
        <f t="shared" si="5"/>
        <v>4</v>
      </c>
      <c r="T10" s="14" t="s">
        <v>95</v>
      </c>
      <c r="U10" s="14"/>
      <c r="V10" s="14"/>
    </row>
    <row r="11" spans="1:22" ht="18" customHeight="1" x14ac:dyDescent="0.25">
      <c r="A11" s="13" t="s">
        <v>85</v>
      </c>
      <c r="B11" s="14"/>
      <c r="C11" s="14"/>
      <c r="D11" s="14"/>
      <c r="E11" s="14"/>
      <c r="F11" s="15"/>
      <c r="G11" s="16" t="s">
        <v>35</v>
      </c>
      <c r="H11" s="16" t="s">
        <v>79</v>
      </c>
      <c r="I11" s="16">
        <v>10</v>
      </c>
      <c r="J11" s="16">
        <v>1</v>
      </c>
      <c r="K11" s="16" t="str">
        <f t="shared" si="0"/>
        <v>EEL</v>
      </c>
      <c r="L11" s="17" t="str">
        <f t="shared" si="1"/>
        <v>L</v>
      </c>
      <c r="M11" s="18" t="str">
        <f t="shared" si="2"/>
        <v>Baixa</v>
      </c>
      <c r="N11" s="19">
        <f t="shared" si="3"/>
        <v>3</v>
      </c>
      <c r="O11" s="20">
        <f>IF(H11="I",N11*Contagem!$U$11,IF(H11="E",N11*Contagem!$U$13,IF(H11="A",N11*Contagem!$U$12,IF(H11="T",N11*Contagem!$U$14,""))))</f>
        <v>3</v>
      </c>
      <c r="P11" s="16"/>
      <c r="Q11" s="83">
        <f>IF(H11="I", Sumário!$F$55, IF(H11="A", Sumário!$F$56, Sumário!$F$57))</f>
        <v>1</v>
      </c>
      <c r="R11" s="83" t="b">
        <f t="shared" si="4"/>
        <v>0</v>
      </c>
      <c r="S11" s="14">
        <f t="shared" si="5"/>
        <v>4</v>
      </c>
      <c r="T11" s="14" t="s">
        <v>98</v>
      </c>
      <c r="U11" s="14"/>
      <c r="V11" s="14"/>
    </row>
    <row r="12" spans="1:22" ht="18" customHeight="1" x14ac:dyDescent="0.25">
      <c r="A12" s="13" t="s">
        <v>86</v>
      </c>
      <c r="B12" s="14"/>
      <c r="C12" s="14"/>
      <c r="D12" s="14"/>
      <c r="E12" s="14"/>
      <c r="F12" s="15"/>
      <c r="G12" s="16" t="s">
        <v>46</v>
      </c>
      <c r="H12" s="16" t="s">
        <v>79</v>
      </c>
      <c r="I12" s="16">
        <v>1</v>
      </c>
      <c r="J12" s="16">
        <v>1</v>
      </c>
      <c r="K12" s="16" t="str">
        <f t="shared" si="0"/>
        <v>CEL</v>
      </c>
      <c r="L12" s="17" t="str">
        <f t="shared" si="1"/>
        <v>L</v>
      </c>
      <c r="M12" s="18" t="str">
        <f t="shared" si="2"/>
        <v>Baixa</v>
      </c>
      <c r="N12" s="19">
        <f t="shared" si="3"/>
        <v>3</v>
      </c>
      <c r="O12" s="20">
        <f>IF(H12="I",N12*Contagem!$U$11,IF(H12="E",N12*Contagem!$U$13,IF(H12="A",N12*Contagem!$U$12,IF(H12="T",N12*Contagem!$U$14,""))))</f>
        <v>3</v>
      </c>
      <c r="P12" s="16"/>
      <c r="Q12" s="83">
        <f>IF(H12="I", Sumário!$F$55, IF(H12="A", Sumário!$F$56, Sumário!$F$57))</f>
        <v>1</v>
      </c>
      <c r="R12" s="83" t="b">
        <f t="shared" si="4"/>
        <v>0</v>
      </c>
      <c r="S12" s="14">
        <f t="shared" si="5"/>
        <v>4</v>
      </c>
      <c r="T12" s="14" t="s">
        <v>96</v>
      </c>
      <c r="U12" s="14"/>
      <c r="V12" s="14"/>
    </row>
    <row r="13" spans="1:22" ht="18" customHeight="1" x14ac:dyDescent="0.25">
      <c r="A13" s="13" t="s">
        <v>87</v>
      </c>
      <c r="B13" s="14"/>
      <c r="C13" s="14"/>
      <c r="D13" s="14"/>
      <c r="E13" s="14"/>
      <c r="F13" s="15"/>
      <c r="G13" s="16" t="s">
        <v>46</v>
      </c>
      <c r="H13" s="16" t="s">
        <v>79</v>
      </c>
      <c r="I13" s="16">
        <v>1</v>
      </c>
      <c r="J13" s="16">
        <v>1</v>
      </c>
      <c r="K13" s="16" t="str">
        <f t="shared" si="0"/>
        <v>CEL</v>
      </c>
      <c r="L13" s="17" t="str">
        <f t="shared" si="1"/>
        <v>L</v>
      </c>
      <c r="M13" s="18" t="str">
        <f t="shared" si="2"/>
        <v>Baixa</v>
      </c>
      <c r="N13" s="19">
        <f t="shared" si="3"/>
        <v>3</v>
      </c>
      <c r="O13" s="20">
        <f>IF(H13="I",N13*Contagem!$U$11,IF(H13="E",N13*Contagem!$U$13,IF(H13="A",N13*Contagem!$U$12,IF(H13="T",N13*Contagem!$U$14,""))))</f>
        <v>3</v>
      </c>
      <c r="P13" s="16"/>
      <c r="Q13" s="83">
        <f>IF(H13="I", Sumário!$F$55, IF(H13="A", Sumário!$F$56, Sumário!$F$57))</f>
        <v>1</v>
      </c>
      <c r="R13" s="83" t="b">
        <f t="shared" si="4"/>
        <v>0</v>
      </c>
      <c r="S13" s="14">
        <f t="shared" si="5"/>
        <v>4</v>
      </c>
      <c r="T13" s="14" t="s">
        <v>97</v>
      </c>
      <c r="U13" s="14"/>
      <c r="V13" s="14"/>
    </row>
    <row r="14" spans="1:22" ht="18" customHeight="1" x14ac:dyDescent="0.25">
      <c r="A14" s="13" t="s">
        <v>88</v>
      </c>
      <c r="B14" s="14"/>
      <c r="C14" s="14"/>
      <c r="D14" s="14"/>
      <c r="E14" s="14"/>
      <c r="F14" s="15"/>
      <c r="G14" s="16" t="s">
        <v>35</v>
      </c>
      <c r="H14" s="16" t="s">
        <v>79</v>
      </c>
      <c r="I14" s="16">
        <v>3</v>
      </c>
      <c r="J14" s="16">
        <v>1</v>
      </c>
      <c r="K14" s="16" t="str">
        <f t="shared" si="0"/>
        <v>EEL</v>
      </c>
      <c r="L14" s="17" t="str">
        <f t="shared" si="1"/>
        <v>L</v>
      </c>
      <c r="M14" s="18" t="str">
        <f t="shared" si="2"/>
        <v>Baixa</v>
      </c>
      <c r="N14" s="19">
        <f t="shared" si="3"/>
        <v>3</v>
      </c>
      <c r="O14" s="20">
        <f>IF(H14="I",N14*Contagem!$U$11,IF(H14="E",N14*Contagem!$U$13,IF(H14="A",N14*Contagem!$U$12,IF(H14="T",N14*Contagem!$U$14,""))))</f>
        <v>3</v>
      </c>
      <c r="P14" s="16"/>
      <c r="Q14" s="83">
        <f>IF(H14="I", Sumário!$F$55, IF(H14="A", Sumário!$F$56, Sumário!$F$57))</f>
        <v>1</v>
      </c>
      <c r="R14" s="83" t="b">
        <f t="shared" si="4"/>
        <v>0</v>
      </c>
      <c r="S14" s="14">
        <f t="shared" si="5"/>
        <v>4</v>
      </c>
      <c r="T14" s="14" t="s">
        <v>99</v>
      </c>
      <c r="U14" s="14"/>
      <c r="V14" s="14"/>
    </row>
    <row r="15" spans="1:22" ht="18" customHeight="1" x14ac:dyDescent="0.25">
      <c r="A15" s="122" t="s">
        <v>90</v>
      </c>
      <c r="B15" s="123"/>
      <c r="C15" s="123"/>
      <c r="D15" s="123"/>
      <c r="E15" s="123"/>
      <c r="F15" s="124"/>
      <c r="G15" s="16"/>
      <c r="H15" s="16"/>
      <c r="I15" s="16"/>
      <c r="J15" s="16"/>
      <c r="K15" s="16" t="str">
        <f t="shared" si="0"/>
        <v/>
      </c>
      <c r="L15" s="17" t="str">
        <f t="shared" si="1"/>
        <v/>
      </c>
      <c r="M15" s="18" t="str">
        <f t="shared" si="2"/>
        <v/>
      </c>
      <c r="N15" s="19" t="str">
        <f t="shared" si="3"/>
        <v/>
      </c>
      <c r="O15" s="20" t="str">
        <f>IF(H15="I",N15*Contagem!$U$11,IF(H15="E",N15*Contagem!$U$13,IF(H15="A",N15*Contagem!$U$12,IF(H15="T",N15*Contagem!$U$14,""))))</f>
        <v/>
      </c>
      <c r="P15" s="16"/>
      <c r="Q15" s="83">
        <f>IF(H15="I", Sumário!$F$55, IF(H15="A", Sumário!$F$56, Sumário!$F$57))</f>
        <v>0.4</v>
      </c>
      <c r="R15" s="83" t="b">
        <f t="shared" si="4"/>
        <v>0</v>
      </c>
      <c r="S15" s="14" t="b">
        <f t="shared" si="5"/>
        <v>0</v>
      </c>
      <c r="T15" s="14" t="s">
        <v>106</v>
      </c>
      <c r="U15" s="14"/>
      <c r="V15" s="14"/>
    </row>
    <row r="16" spans="1:22" ht="18" customHeight="1" x14ac:dyDescent="0.25">
      <c r="A16" s="13" t="s">
        <v>84</v>
      </c>
      <c r="B16" s="14"/>
      <c r="C16" s="14"/>
      <c r="D16" s="14"/>
      <c r="E16" s="14"/>
      <c r="F16" s="15"/>
      <c r="G16" s="16" t="s">
        <v>35</v>
      </c>
      <c r="H16" s="16" t="s">
        <v>79</v>
      </c>
      <c r="I16" s="16">
        <v>6</v>
      </c>
      <c r="J16" s="16">
        <v>1</v>
      </c>
      <c r="K16" s="16" t="str">
        <f t="shared" si="0"/>
        <v>EEA</v>
      </c>
      <c r="L16" s="17" t="str">
        <f>IF(OR(ISBLANK(P28),ISBLANK(J16)),IF(OR(G16="ALI",G16="AIE"),"L",IF(ISBLANK(G16),"","A")),IF(G16="EE",IF(J16&gt;=3,IF(P28&gt;=5,"H","A"),IF(J16&gt;=2,IF(P28&gt;=16,"H",IF(P28&lt;=4,"L","A")),IF(P28&lt;=15,"L","A"))),IF(OR(G16="SE",G16="CE"),IF(J16&gt;=4,IF(P28&gt;=6,"H","A"),IF(J16&gt;=2,IF(P28&gt;=20,"H",IF(P28&lt;=5,"L","A")),IF(P28&lt;=19,"L","A"))),IF(OR(G16="ALI",G16="AIE"),IF(J16&gt;=6,IF(P28&gt;=20,"H","A"),IF(J16&gt;=2,IF(P28&gt;=51,"H",IF(P28&lt;=19,"L","A")),IF(P28&lt;=50,"L","A")))))))</f>
        <v>A</v>
      </c>
      <c r="M16" s="18" t="str">
        <f t="shared" si="2"/>
        <v>Média</v>
      </c>
      <c r="N16" s="19">
        <f t="shared" si="3"/>
        <v>4</v>
      </c>
      <c r="O16" s="20">
        <f>IF(H16="I",N16*Contagem!$U$11,IF(H16="E",N16*Contagem!$U$13,IF(H16="A",N16*Contagem!$U$12,IF(H16="T",N16*Contagem!$U$14,""))))</f>
        <v>4</v>
      </c>
      <c r="P16" s="16"/>
      <c r="Q16" s="83">
        <f>IF(H16="I", Sumário!$F$55, IF(H16="A", Sumário!$F$56, Sumário!$F$57))</f>
        <v>1</v>
      </c>
      <c r="R16" s="83" t="b">
        <f t="shared" si="4"/>
        <v>0</v>
      </c>
      <c r="S16" s="14">
        <f t="shared" si="5"/>
        <v>4</v>
      </c>
      <c r="T16" s="14" t="s">
        <v>101</v>
      </c>
      <c r="U16" s="14"/>
      <c r="V16" s="14"/>
    </row>
    <row r="17" spans="1:22" ht="18" customHeight="1" x14ac:dyDescent="0.25">
      <c r="A17" s="13" t="s">
        <v>85</v>
      </c>
      <c r="B17" s="14"/>
      <c r="C17" s="14"/>
      <c r="D17" s="14"/>
      <c r="E17" s="14"/>
      <c r="F17" s="15"/>
      <c r="G17" s="16" t="s">
        <v>35</v>
      </c>
      <c r="H17" s="16" t="s">
        <v>79</v>
      </c>
      <c r="I17" s="16">
        <v>6</v>
      </c>
      <c r="J17" s="16">
        <v>1</v>
      </c>
      <c r="K17" s="16" t="str">
        <f t="shared" si="0"/>
        <v>EEA</v>
      </c>
      <c r="L17" s="17" t="str">
        <f>IF(OR(ISBLANK(P29),ISBLANK(J17)),IF(OR(G17="ALI",G17="AIE"),"L",IF(ISBLANK(G17),"","A")),IF(G17="EE",IF(J17&gt;=3,IF(P29&gt;=5,"H","A"),IF(J17&gt;=2,IF(P29&gt;=16,"H",IF(P29&lt;=4,"L","A")),IF(P29&lt;=15,"L","A"))),IF(OR(G17="SE",G17="CE"),IF(J17&gt;=4,IF(P29&gt;=6,"H","A"),IF(J17&gt;=2,IF(P29&gt;=20,"H",IF(P29&lt;=5,"L","A")),IF(P29&lt;=19,"L","A"))),IF(OR(G17="ALI",G17="AIE"),IF(J17&gt;=6,IF(P29&gt;=20,"H","A"),IF(J17&gt;=2,IF(P29&gt;=51,"H",IF(P29&lt;=19,"L","A")),IF(P29&lt;=50,"L","A")))))))</f>
        <v>A</v>
      </c>
      <c r="M17" s="18" t="str">
        <f t="shared" si="2"/>
        <v>Média</v>
      </c>
      <c r="N17" s="19">
        <f t="shared" si="3"/>
        <v>4</v>
      </c>
      <c r="O17" s="20">
        <f>IF(H17="I",N17*Contagem!$U$11,IF(H17="E",N17*Contagem!$U$13,IF(H17="A",N17*Contagem!$U$12,IF(H17="T",N17*Contagem!$U$14,""))))</f>
        <v>4</v>
      </c>
      <c r="P17" s="16"/>
      <c r="Q17" s="83">
        <f>IF(H17="I", Sumário!$F$55, IF(H17="A", Sumário!$F$56, Sumário!$F$57))</f>
        <v>1</v>
      </c>
      <c r="R17" s="83" t="b">
        <f t="shared" si="4"/>
        <v>0</v>
      </c>
      <c r="S17" s="14">
        <f t="shared" si="5"/>
        <v>4</v>
      </c>
      <c r="T17" s="14" t="s">
        <v>102</v>
      </c>
      <c r="U17" s="14"/>
      <c r="V17" s="14"/>
    </row>
    <row r="18" spans="1:22" ht="18" customHeight="1" x14ac:dyDescent="0.25">
      <c r="A18" s="13" t="s">
        <v>86</v>
      </c>
      <c r="B18" s="14"/>
      <c r="C18" s="14"/>
      <c r="D18" s="14"/>
      <c r="E18" s="14"/>
      <c r="F18" s="15"/>
      <c r="G18" s="16" t="s">
        <v>46</v>
      </c>
      <c r="H18" s="16" t="s">
        <v>79</v>
      </c>
      <c r="I18" s="16">
        <v>1</v>
      </c>
      <c r="J18" s="16">
        <v>1</v>
      </c>
      <c r="K18" s="16" t="str">
        <f t="shared" si="0"/>
        <v>CEA</v>
      </c>
      <c r="L18" s="17" t="str">
        <f>IF(OR(ISBLANK(P30),ISBLANK(J18)),IF(OR(G18="ALI",G18="AIE"),"L",IF(ISBLANK(G18),"","A")),IF(G18="EE",IF(J18&gt;=3,IF(P30&gt;=5,"H","A"),IF(J18&gt;=2,IF(P30&gt;=16,"H",IF(P30&lt;=4,"L","A")),IF(P30&lt;=15,"L","A"))),IF(OR(G18="SE",G18="CE"),IF(J18&gt;=4,IF(P30&gt;=6,"H","A"),IF(J18&gt;=2,IF(P30&gt;=20,"H",IF(P30&lt;=5,"L","A")),IF(P30&lt;=19,"L","A"))),IF(OR(G18="ALI",G18="AIE"),IF(J18&gt;=6,IF(P30&gt;=20,"H","A"),IF(J18&gt;=2,IF(P30&gt;=51,"H",IF(P30&lt;=19,"L","A")),IF(P30&lt;=50,"L","A")))))))</f>
        <v>A</v>
      </c>
      <c r="M18" s="18" t="str">
        <f t="shared" si="2"/>
        <v>Média</v>
      </c>
      <c r="N18" s="19">
        <f t="shared" si="3"/>
        <v>4</v>
      </c>
      <c r="O18" s="20">
        <f>IF(H18="I",N18*Contagem!$U$11,IF(H18="E",N18*Contagem!$U$13,IF(H18="A",N18*Contagem!$U$12,IF(H18="T",N18*Contagem!$U$14,""))))</f>
        <v>4</v>
      </c>
      <c r="P18" s="16"/>
      <c r="Q18" s="83">
        <f>IF(H18="I", Sumário!$F$55, IF(H18="A", Sumário!$F$56, Sumário!$F$57))</f>
        <v>1</v>
      </c>
      <c r="R18" s="83" t="b">
        <f t="shared" si="4"/>
        <v>0</v>
      </c>
      <c r="S18" s="14">
        <f t="shared" si="5"/>
        <v>4</v>
      </c>
      <c r="T18" s="14" t="s">
        <v>104</v>
      </c>
      <c r="U18" s="14"/>
      <c r="V18" s="14"/>
    </row>
    <row r="19" spans="1:22" ht="18" customHeight="1" x14ac:dyDescent="0.25">
      <c r="A19" s="13" t="s">
        <v>87</v>
      </c>
      <c r="B19" s="14"/>
      <c r="C19" s="14"/>
      <c r="D19" s="14"/>
      <c r="E19" s="14"/>
      <c r="F19" s="15"/>
      <c r="G19" s="16" t="s">
        <v>46</v>
      </c>
      <c r="H19" s="16" t="s">
        <v>79</v>
      </c>
      <c r="I19" s="16">
        <v>1</v>
      </c>
      <c r="J19" s="16">
        <v>1</v>
      </c>
      <c r="K19" s="16" t="str">
        <f t="shared" si="0"/>
        <v>CEA</v>
      </c>
      <c r="L19" s="17" t="str">
        <f>IF(OR(ISBLANK(P31),ISBLANK(J19)),IF(OR(G19="ALI",G19="AIE"),"L",IF(ISBLANK(G19),"","A")),IF(G19="EE",IF(J19&gt;=3,IF(P31&gt;=5,"H","A"),IF(J19&gt;=2,IF(P31&gt;=16,"H",IF(P31&lt;=4,"L","A")),IF(P31&lt;=15,"L","A"))),IF(OR(G19="SE",G19="CE"),IF(J19&gt;=4,IF(P31&gt;=6,"H","A"),IF(J19&gt;=2,IF(P31&gt;=20,"H",IF(P31&lt;=5,"L","A")),IF(P31&lt;=19,"L","A"))),IF(OR(G19="ALI",G19="AIE"),IF(J19&gt;=6,IF(P31&gt;=20,"H","A"),IF(J19&gt;=2,IF(P31&gt;=51,"H",IF(P31&lt;=19,"L","A")),IF(P31&lt;=50,"L","A")))))))</f>
        <v>A</v>
      </c>
      <c r="M19" s="18" t="str">
        <f t="shared" si="2"/>
        <v>Média</v>
      </c>
      <c r="N19" s="19">
        <f t="shared" si="3"/>
        <v>4</v>
      </c>
      <c r="O19" s="20">
        <f>IF(H19="I",N19*Contagem!$U$11,IF(H19="E",N19*Contagem!$U$13,IF(H19="A",N19*Contagem!$U$12,IF(H19="T",N19*Contagem!$U$14,""))))</f>
        <v>4</v>
      </c>
      <c r="P19" s="16"/>
      <c r="Q19" s="83">
        <f>IF(H19="I", Sumário!$F$55, IF(H19="A", Sumário!$F$56, Sumário!$F$57))</f>
        <v>1</v>
      </c>
      <c r="R19" s="83" t="b">
        <f t="shared" si="4"/>
        <v>0</v>
      </c>
      <c r="S19" s="14">
        <f t="shared" si="5"/>
        <v>4</v>
      </c>
      <c r="T19" s="14" t="s">
        <v>103</v>
      </c>
      <c r="U19" s="14"/>
      <c r="V19" s="14"/>
    </row>
    <row r="20" spans="1:22" ht="18" customHeight="1" x14ac:dyDescent="0.25">
      <c r="A20" s="13" t="s">
        <v>91</v>
      </c>
      <c r="B20" s="14"/>
      <c r="C20" s="14"/>
      <c r="D20" s="14"/>
      <c r="E20" s="14"/>
      <c r="F20" s="15"/>
      <c r="G20" s="16" t="s">
        <v>35</v>
      </c>
      <c r="H20" s="16" t="s">
        <v>79</v>
      </c>
      <c r="I20" s="16">
        <v>3</v>
      </c>
      <c r="J20" s="16">
        <v>1</v>
      </c>
      <c r="K20" s="16" t="str">
        <f t="shared" si="0"/>
        <v>EEA</v>
      </c>
      <c r="L20" s="17" t="str">
        <f>IF(OR(ISBLANK(P32),ISBLANK(J20)),IF(OR(G20="ALI",G20="AIE"),"L",IF(ISBLANK(G20),"","A")),IF(G20="EE",IF(J20&gt;=3,IF(P32&gt;=5,"H","A"),IF(J20&gt;=2,IF(P32&gt;=16,"H",IF(P32&lt;=4,"L","A")),IF(P32&lt;=15,"L","A"))),IF(OR(G20="SE",G20="CE"),IF(J20&gt;=4,IF(P32&gt;=6,"H","A"),IF(J20&gt;=2,IF(P32&gt;=20,"H",IF(P32&lt;=5,"L","A")),IF(P32&lt;=19,"L","A"))),IF(OR(G20="ALI",G20="AIE"),IF(J20&gt;=6,IF(P32&gt;=20,"H","A"),IF(J20&gt;=2,IF(P32&gt;=51,"H",IF(P32&lt;=19,"L","A")),IF(P32&lt;=50,"L","A")))))))</f>
        <v>A</v>
      </c>
      <c r="M20" s="18" t="str">
        <f t="shared" si="2"/>
        <v>Média</v>
      </c>
      <c r="N20" s="19">
        <f t="shared" si="3"/>
        <v>4</v>
      </c>
      <c r="O20" s="20">
        <f>IF(H20="I",N20*Contagem!$U$11,IF(H20="E",N20*Contagem!$U$13,IF(H20="A",N20*Contagem!$U$12,IF(H20="T",N20*Contagem!$U$14,""))))</f>
        <v>4</v>
      </c>
      <c r="P20" s="16"/>
      <c r="Q20" s="83">
        <f>IF(H20="I", Sumário!$F$55, IF(H20="A", Sumário!$F$56, Sumário!$F$57))</f>
        <v>1</v>
      </c>
      <c r="R20" s="83" t="b">
        <f t="shared" si="4"/>
        <v>0</v>
      </c>
      <c r="S20" s="14">
        <f t="shared" si="5"/>
        <v>4</v>
      </c>
      <c r="T20" s="14" t="s">
        <v>100</v>
      </c>
      <c r="U20" s="14"/>
      <c r="V20" s="14"/>
    </row>
    <row r="21" spans="1:22" ht="18" customHeight="1" x14ac:dyDescent="0.25">
      <c r="A21" s="122" t="s">
        <v>89</v>
      </c>
      <c r="B21" s="123"/>
      <c r="C21" s="123"/>
      <c r="D21" s="123"/>
      <c r="E21" s="123"/>
      <c r="F21" s="124"/>
      <c r="G21" s="16"/>
      <c r="H21" s="16"/>
      <c r="I21" s="16"/>
      <c r="J21" s="16"/>
      <c r="K21" s="16" t="str">
        <f t="shared" si="0"/>
        <v/>
      </c>
      <c r="L21" s="17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/>
      </c>
      <c r="M21" s="18" t="str">
        <f t="shared" si="2"/>
        <v/>
      </c>
      <c r="N21" s="19" t="str">
        <f t="shared" si="3"/>
        <v/>
      </c>
      <c r="O21" s="20" t="str">
        <f>IF(H21="I",N21*Contagem!$U$11,IF(H21="E",N21*Contagem!$U$13,IF(H21="A",N21*Contagem!$U$12,IF(H21="T",N21*Contagem!$U$14,""))))</f>
        <v/>
      </c>
      <c r="P21" s="16"/>
      <c r="Q21" s="83">
        <f>IF(H21="I", Sumário!$F$55, IF(H21="A", Sumário!$F$56, Sumário!$F$57))</f>
        <v>0.4</v>
      </c>
      <c r="R21" s="83" t="b">
        <f t="shared" si="4"/>
        <v>0</v>
      </c>
      <c r="S21" s="14" t="b">
        <f t="shared" si="5"/>
        <v>0</v>
      </c>
      <c r="T21" s="88" t="s">
        <v>107</v>
      </c>
      <c r="U21" s="89"/>
      <c r="V21" s="14"/>
    </row>
    <row r="22" spans="1:22" ht="18" customHeight="1" x14ac:dyDescent="0.25">
      <c r="A22" s="13" t="s">
        <v>84</v>
      </c>
      <c r="B22" s="14"/>
      <c r="C22" s="14"/>
      <c r="D22" s="14"/>
      <c r="E22" s="14"/>
      <c r="F22" s="15"/>
      <c r="G22" s="16" t="s">
        <v>35</v>
      </c>
      <c r="H22" s="16" t="s">
        <v>79</v>
      </c>
      <c r="I22" s="16">
        <v>7</v>
      </c>
      <c r="J22" s="16">
        <v>2</v>
      </c>
      <c r="K22" s="16" t="str">
        <f t="shared" si="0"/>
        <v>EEA</v>
      </c>
      <c r="L22" s="17" t="str">
        <f>IF(OR(ISBLANK(I16),ISBLANK(J22)),IF(OR(G22="ALI",G22="AIE"),"L",IF(ISBLANK(G22),"","A")),IF(G22="EE",IF(J22&gt;=3,IF(I16&gt;=5,"H","A"),IF(J22&gt;=2,IF(I16&gt;=16,"H",IF(I16&lt;=4,"L","A")),IF(I16&lt;=15,"L","A"))),IF(OR(G22="SE",G22="CE"),IF(J22&gt;=4,IF(I16&gt;=6,"H","A"),IF(J22&gt;=2,IF(I16&gt;=20,"H",IF(I16&lt;=5,"L","A")),IF(I16&lt;=19,"L","A"))),IF(OR(G22="ALI",G22="AIE"),IF(J22&gt;=6,IF(I16&gt;=20,"H","A"),IF(J22&gt;=2,IF(I16&gt;=51,"H",IF(I16&lt;=19,"L","A")),IF(I16&lt;=50,"L","A")))))))</f>
        <v>A</v>
      </c>
      <c r="M22" s="18" t="str">
        <f t="shared" si="2"/>
        <v>Média</v>
      </c>
      <c r="N22" s="19">
        <f t="shared" si="3"/>
        <v>4</v>
      </c>
      <c r="O22" s="20">
        <f>IF(H22="I",N22*Contagem!$U$11,IF(H22="E",N22*Contagem!$U$13,IF(H22="A",N22*Contagem!$U$12,IF(H22="T",N22*Contagem!$U$14,""))))</f>
        <v>4</v>
      </c>
      <c r="P22" s="16"/>
      <c r="Q22" s="83">
        <f>IF(H22="I", Sumário!$F$55, IF(H22="A", Sumário!$F$56, Sumário!$F$57))</f>
        <v>1</v>
      </c>
      <c r="R22" s="83" t="b">
        <f t="shared" si="4"/>
        <v>0</v>
      </c>
      <c r="S22" s="14">
        <f t="shared" si="5"/>
        <v>4</v>
      </c>
      <c r="T22" s="14" t="s">
        <v>112</v>
      </c>
      <c r="U22" s="14"/>
      <c r="V22" s="14"/>
    </row>
    <row r="23" spans="1:22" ht="18" customHeight="1" x14ac:dyDescent="0.25">
      <c r="A23" s="13" t="s">
        <v>85</v>
      </c>
      <c r="B23" s="14"/>
      <c r="C23" s="14"/>
      <c r="D23" s="14"/>
      <c r="E23" s="14"/>
      <c r="F23" s="15"/>
      <c r="G23" s="16" t="s">
        <v>35</v>
      </c>
      <c r="H23" s="16" t="s">
        <v>79</v>
      </c>
      <c r="I23" s="16">
        <v>7</v>
      </c>
      <c r="J23" s="16">
        <v>2</v>
      </c>
      <c r="K23" s="16" t="str">
        <f t="shared" si="0"/>
        <v>EEA</v>
      </c>
      <c r="L23" s="17" t="str">
        <f>IF(OR(ISBLANK(I17),ISBLANK(J23)),IF(OR(G23="ALI",G23="AIE"),"L",IF(ISBLANK(G23),"","A")),IF(G23="EE",IF(J23&gt;=3,IF(I17&gt;=5,"H","A"),IF(J23&gt;=2,IF(I17&gt;=16,"H",IF(I17&lt;=4,"L","A")),IF(I17&lt;=15,"L","A"))),IF(OR(G23="SE",G23="CE"),IF(J23&gt;=4,IF(I17&gt;=6,"H","A"),IF(J23&gt;=2,IF(I17&gt;=20,"H",IF(I17&lt;=5,"L","A")),IF(I17&lt;=19,"L","A"))),IF(OR(G23="ALI",G23="AIE"),IF(J23&gt;=6,IF(I17&gt;=20,"H","A"),IF(J23&gt;=2,IF(I17&gt;=51,"H",IF(I17&lt;=19,"L","A")),IF(I17&lt;=50,"L","A")))))))</f>
        <v>A</v>
      </c>
      <c r="M23" s="18" t="str">
        <f t="shared" si="2"/>
        <v>Média</v>
      </c>
      <c r="N23" s="19">
        <f t="shared" si="3"/>
        <v>4</v>
      </c>
      <c r="O23" s="20">
        <f>IF(H23="I",N23*Contagem!$U$11,IF(H23="E",N23*Contagem!$U$13,IF(H23="A",N23*Contagem!$U$12,IF(H23="T",N23*Contagem!$U$14,""))))</f>
        <v>4</v>
      </c>
      <c r="P23" s="16"/>
      <c r="Q23" s="83">
        <f>IF(H23="I", Sumário!$F$55, IF(H23="A", Sumário!$F$56, Sumário!$F$57))</f>
        <v>1</v>
      </c>
      <c r="R23" s="83" t="b">
        <f t="shared" si="4"/>
        <v>0</v>
      </c>
      <c r="S23" s="14">
        <f t="shared" si="5"/>
        <v>4</v>
      </c>
      <c r="T23" s="14" t="s">
        <v>111</v>
      </c>
      <c r="U23" s="14"/>
      <c r="V23" s="14"/>
    </row>
    <row r="24" spans="1:22" ht="18" customHeight="1" x14ac:dyDescent="0.25">
      <c r="A24" s="13" t="s">
        <v>86</v>
      </c>
      <c r="B24" s="14"/>
      <c r="C24" s="14"/>
      <c r="D24" s="14"/>
      <c r="E24" s="14"/>
      <c r="F24" s="15"/>
      <c r="G24" s="16" t="s">
        <v>46</v>
      </c>
      <c r="H24" s="16" t="s">
        <v>79</v>
      </c>
      <c r="I24" s="16">
        <v>1</v>
      </c>
      <c r="J24" s="16">
        <v>2</v>
      </c>
      <c r="K24" s="16" t="str">
        <f t="shared" si="0"/>
        <v>CEL</v>
      </c>
      <c r="L24" s="17" t="str">
        <f>IF(OR(ISBLANK(I18),ISBLANK(J24)),IF(OR(G24="ALI",G24="AIE"),"L",IF(ISBLANK(G24),"","A")),IF(G24="EE",IF(J24&gt;=3,IF(I18&gt;=5,"H","A"),IF(J24&gt;=2,IF(I18&gt;=16,"H",IF(I18&lt;=4,"L","A")),IF(I18&lt;=15,"L","A"))),IF(OR(G24="SE",G24="CE"),IF(J24&gt;=4,IF(I18&gt;=6,"H","A"),IF(J24&gt;=2,IF(I18&gt;=20,"H",IF(I18&lt;=5,"L","A")),IF(I18&lt;=19,"L","A"))),IF(OR(G24="ALI",G24="AIE"),IF(J24&gt;=6,IF(I18&gt;=20,"H","A"),IF(J24&gt;=2,IF(I18&gt;=51,"H",IF(I18&lt;=19,"L","A")),IF(I18&lt;=50,"L","A")))))))</f>
        <v>L</v>
      </c>
      <c r="M24" s="18" t="str">
        <f t="shared" si="2"/>
        <v>Baixa</v>
      </c>
      <c r="N24" s="19">
        <f t="shared" si="3"/>
        <v>3</v>
      </c>
      <c r="O24" s="20">
        <f>IF(H24="I",N24*Contagem!$U$11,IF(H24="E",N24*Contagem!$U$13,IF(H24="A",N24*Contagem!$U$12,IF(H24="T",N24*Contagem!$U$14,""))))</f>
        <v>3</v>
      </c>
      <c r="P24" s="16"/>
      <c r="Q24" s="83">
        <f>IF(H24="I", Sumário!$F$55, IF(H24="A", Sumário!$F$56, Sumário!$F$57))</f>
        <v>1</v>
      </c>
      <c r="R24" s="83" t="b">
        <f t="shared" si="4"/>
        <v>0</v>
      </c>
      <c r="S24" s="14">
        <f t="shared" si="5"/>
        <v>4</v>
      </c>
      <c r="T24" s="88" t="s">
        <v>110</v>
      </c>
      <c r="U24" s="14"/>
      <c r="V24" s="14"/>
    </row>
    <row r="25" spans="1:22" ht="17.25" customHeight="1" x14ac:dyDescent="0.25">
      <c r="A25" s="13" t="s">
        <v>87</v>
      </c>
      <c r="B25" s="14"/>
      <c r="C25" s="14"/>
      <c r="D25" s="14"/>
      <c r="E25" s="14"/>
      <c r="F25" s="15"/>
      <c r="G25" s="16" t="s">
        <v>46</v>
      </c>
      <c r="H25" s="16" t="s">
        <v>79</v>
      </c>
      <c r="I25" s="16">
        <v>1</v>
      </c>
      <c r="J25" s="16">
        <v>2</v>
      </c>
      <c r="K25" s="16" t="str">
        <f t="shared" si="0"/>
        <v>CEL</v>
      </c>
      <c r="L25" s="17" t="str">
        <f>IF(OR(ISBLANK(I19),ISBLANK(J25)),IF(OR(G25="ALI",G25="AIE"),"L",IF(ISBLANK(G25),"","A")),IF(G25="EE",IF(J25&gt;=3,IF(I19&gt;=5,"H","A"),IF(J25&gt;=2,IF(I19&gt;=16,"H",IF(I19&lt;=4,"L","A")),IF(I19&lt;=15,"L","A"))),IF(OR(G25="SE",G25="CE"),IF(J25&gt;=4,IF(I19&gt;=6,"H","A"),IF(J25&gt;=2,IF(I19&gt;=20,"H",IF(I19&lt;=5,"L","A")),IF(I19&lt;=19,"L","A"))),IF(OR(G25="ALI",G25="AIE"),IF(J25&gt;=6,IF(I19&gt;=20,"H","A"),IF(J25&gt;=2,IF(I19&gt;=51,"H",IF(I19&lt;=19,"L","A")),IF(I19&lt;=50,"L","A")))))))</f>
        <v>L</v>
      </c>
      <c r="M25" s="18" t="str">
        <f t="shared" si="2"/>
        <v>Baixa</v>
      </c>
      <c r="N25" s="19">
        <f t="shared" si="3"/>
        <v>3</v>
      </c>
      <c r="O25" s="20">
        <f>IF(H25="I",N25*Contagem!$U$11,IF(H25="E",N25*Contagem!$U$13,IF(H25="A",N25*Contagem!$U$12,IF(H25="T",N25*Contagem!$U$14,""))))</f>
        <v>3</v>
      </c>
      <c r="P25" s="16"/>
      <c r="Q25" s="83">
        <f>IF(H25="I", Sumário!$F$55, IF(H25="A", Sumário!$F$56, Sumário!$F$57))</f>
        <v>1</v>
      </c>
      <c r="R25" s="83" t="b">
        <f t="shared" si="4"/>
        <v>0</v>
      </c>
      <c r="S25" s="14">
        <f t="shared" si="5"/>
        <v>4</v>
      </c>
      <c r="T25" s="14" t="s">
        <v>109</v>
      </c>
      <c r="V25" s="14"/>
    </row>
    <row r="26" spans="1:22" ht="18" customHeight="1" x14ac:dyDescent="0.25">
      <c r="A26" s="13" t="s">
        <v>91</v>
      </c>
      <c r="B26" s="14"/>
      <c r="C26" s="14"/>
      <c r="D26" s="14"/>
      <c r="E26" s="14"/>
      <c r="F26" s="15"/>
      <c r="G26" s="16" t="s">
        <v>35</v>
      </c>
      <c r="H26" s="16" t="s">
        <v>79</v>
      </c>
      <c r="I26" s="16">
        <v>3</v>
      </c>
      <c r="J26" s="16">
        <v>2</v>
      </c>
      <c r="K26" s="16" t="str">
        <f t="shared" si="0"/>
        <v>EEL</v>
      </c>
      <c r="L26" s="17" t="str">
        <f>IF(OR(ISBLANK(I20),ISBLANK(J26)),IF(OR(G26="ALI",G26="AIE"),"L",IF(ISBLANK(G26),"","A")),IF(G26="EE",IF(J26&gt;=3,IF(I20&gt;=5,"H","A"),IF(J26&gt;=2,IF(I20&gt;=16,"H",IF(I20&lt;=4,"L","A")),IF(I20&lt;=15,"L","A"))),IF(OR(G26="SE",G26="CE"),IF(J26&gt;=4,IF(I20&gt;=6,"H","A"),IF(J26&gt;=2,IF(I20&gt;=20,"H",IF(I20&lt;=5,"L","A")),IF(I20&lt;=19,"L","A"))),IF(OR(G26="ALI",G26="AIE"),IF(J26&gt;=6,IF(I20&gt;=20,"H","A"),IF(J26&gt;=2,IF(I20&gt;=51,"H",IF(I20&lt;=19,"L","A")),IF(I20&lt;=50,"L","A")))))))</f>
        <v>L</v>
      </c>
      <c r="M26" s="18" t="str">
        <f t="shared" si="2"/>
        <v>Baixa</v>
      </c>
      <c r="N26" s="19">
        <f t="shared" si="3"/>
        <v>3</v>
      </c>
      <c r="O26" s="20">
        <f>IF(H26="I",N26*Contagem!$U$11,IF(H26="E",N26*Contagem!$U$13,IF(H26="A",N26*Contagem!$U$12,IF(H26="T",N26*Contagem!$U$14,""))))</f>
        <v>3</v>
      </c>
      <c r="P26" s="16"/>
      <c r="Q26" s="83">
        <f>IF(H26="I", Sumário!$F$55, IF(H26="A", Sumário!$F$56, Sumário!$F$57))</f>
        <v>1</v>
      </c>
      <c r="R26" s="83" t="b">
        <f t="shared" si="4"/>
        <v>0</v>
      </c>
      <c r="S26" s="14">
        <f t="shared" si="5"/>
        <v>4</v>
      </c>
      <c r="T26" s="14" t="s">
        <v>108</v>
      </c>
      <c r="U26" s="14"/>
      <c r="V26" s="14"/>
    </row>
    <row r="27" spans="1:22" ht="18" customHeight="1" x14ac:dyDescent="0.25">
      <c r="A27" s="13" t="s">
        <v>80</v>
      </c>
      <c r="B27" s="14"/>
      <c r="C27" s="14"/>
      <c r="D27" s="14"/>
      <c r="E27" s="14"/>
      <c r="F27" s="15"/>
      <c r="G27" s="16"/>
      <c r="H27" s="16"/>
      <c r="I27" s="16"/>
      <c r="J27" s="16"/>
      <c r="K27" s="16" t="str">
        <f>CONCATENATE(G27,L27)</f>
        <v/>
      </c>
      <c r="L27" s="17" t="str">
        <f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/>
      </c>
      <c r="M27" s="18" t="str">
        <f>IF(L27="L","Baixa",IF(L27="A","Média",IF(L27="","","Alta")))</f>
        <v/>
      </c>
      <c r="N27" s="19" t="str">
        <f>IF(ISBLANK(G27),"",IF(G27="ALI",IF(L27="L",7,IF(L27="A",10,15)),IF(G27="AIE",IF(L27="L",5,IF(L27="A",7,10)),IF(G27="SE",IF(L27="L",4,IF(L27="A",5,7)),IF(OR(G27="EE",G27="CE"),IF(L27="L",3,IF(L27="A",4,6)))))))</f>
        <v/>
      </c>
      <c r="O27" s="20" t="str">
        <f>IF(H27="I",N27*Contagem!$U$11,IF(H27="E",N27*Contagem!$U$13,IF(H27="A",N27*Contagem!$U$12,IF(H27="T",N27*Contagem!$U$14,""))))</f>
        <v/>
      </c>
      <c r="P27" s="16"/>
      <c r="Q27" s="83">
        <f>IF(H27="I", Sumário!$F$55, IF(H27="A", Sumário!$F$56, Sumário!$F$57))</f>
        <v>0.4</v>
      </c>
      <c r="R27" s="83" t="b">
        <f>IF(G27="ALI",35*Q27,IF(G27="AIE",15*Q27))</f>
        <v>0</v>
      </c>
      <c r="S27" s="14" t="b">
        <f>IF(OR(G27="EE",G27="CE"),IF(H27="I",4,(4*Q27)),IF(G27="SE",IF(H27="I",5, 5*Q27),IF(G27="ALI", IF(H27="I", 7, 7*Q27), IF(G27="AIE", IF(H27="I", 5, 5*Q27)))))</f>
        <v>0</v>
      </c>
      <c r="T27" s="14"/>
      <c r="U27" s="14"/>
      <c r="V27" s="14"/>
    </row>
    <row r="28" spans="1:22" ht="18" customHeight="1" x14ac:dyDescent="0.25">
      <c r="A28" s="13" t="s">
        <v>82</v>
      </c>
      <c r="B28" s="14"/>
      <c r="C28" s="14"/>
      <c r="D28" s="14"/>
      <c r="E28" s="14"/>
      <c r="F28" s="15"/>
      <c r="G28" s="16" t="s">
        <v>47</v>
      </c>
      <c r="H28" s="16" t="s">
        <v>79</v>
      </c>
      <c r="I28" s="16">
        <v>25</v>
      </c>
      <c r="J28" s="16">
        <v>1</v>
      </c>
      <c r="K28" s="16" t="str">
        <f t="shared" ref="K28:K44" si="6">CONCATENATE(G28,L28)</f>
        <v>ALIL</v>
      </c>
      <c r="L28" s="17" t="str">
        <f t="shared" ref="L28:L44" si="7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18" t="str">
        <f t="shared" ref="M28:M44" si="8">IF(L28="L","Baixa",IF(L28="A","Média",IF(L28="","","Alta")))</f>
        <v>Baixa</v>
      </c>
      <c r="N28" s="19">
        <f t="shared" ref="N28:N44" si="9">IF(ISBLANK(G28),"",IF(G28="ALI",IF(L28="L",7,IF(L28="A",10,15)),IF(G28="AIE",IF(L28="L",5,IF(L28="A",7,10)),IF(G28="SE",IF(L28="L",4,IF(L28="A",5,7)),IF(OR(G28="EE",G28="CE"),IF(L28="L",3,IF(L28="A",4,6)))))))</f>
        <v>7</v>
      </c>
      <c r="O28" s="20">
        <f>IF(H28="I",N28*Contagem!$U$11,IF(H28="E",N28*Contagem!$U$13,IF(H28="A",N28*Contagem!$U$12,IF(H28="T",N28*Contagem!$U$14,""))))</f>
        <v>7</v>
      </c>
      <c r="P28" s="16"/>
      <c r="Q28" s="83"/>
      <c r="R28" s="83"/>
      <c r="S28" s="14"/>
      <c r="T28" s="14"/>
      <c r="U28" s="14"/>
      <c r="V28" s="14"/>
    </row>
    <row r="29" spans="1:22" ht="18" customHeight="1" x14ac:dyDescent="0.25">
      <c r="A29" s="13" t="s">
        <v>81</v>
      </c>
      <c r="B29" s="14"/>
      <c r="C29" s="14"/>
      <c r="D29" s="14"/>
      <c r="E29" s="14"/>
      <c r="F29" s="15"/>
      <c r="G29" s="16" t="s">
        <v>47</v>
      </c>
      <c r="H29" s="16" t="s">
        <v>79</v>
      </c>
      <c r="I29" s="16">
        <v>17</v>
      </c>
      <c r="J29" s="16">
        <v>1</v>
      </c>
      <c r="K29" s="16" t="str">
        <f t="shared" si="6"/>
        <v>ALIL</v>
      </c>
      <c r="L29" s="17" t="str">
        <f t="shared" si="7"/>
        <v>L</v>
      </c>
      <c r="M29" s="18" t="str">
        <f t="shared" si="8"/>
        <v>Baixa</v>
      </c>
      <c r="N29" s="19">
        <f t="shared" si="9"/>
        <v>7</v>
      </c>
      <c r="O29" s="20">
        <f>IF(H29="I",N29*Contagem!$U$11,IF(H29="E",N29*Contagem!$U$13,IF(H29="A",N29*Contagem!$U$12,IF(H29="T",N29*Contagem!$U$14,""))))</f>
        <v>7</v>
      </c>
      <c r="P29" s="16"/>
      <c r="Q29" s="83" t="e">
        <f>IF(#REF!="I", Sumário!$F$55, IF(#REF!="A", Sumário!$F$56, Sumário!$F$57))</f>
        <v>#REF!</v>
      </c>
      <c r="R29" s="83" t="e">
        <f>IF(#REF!="ALI",35*Q29,IF(#REF!="AIE",15*Q29))</f>
        <v>#REF!</v>
      </c>
      <c r="S29" s="14" t="e">
        <f>IF(OR(#REF!="EE",#REF!="CE"),IF(#REF!="I",4,(4*Q29)),IF(#REF!="SE",IF(#REF!="I",5, 5*Q29),IF(#REF!="ALI", IF(#REF!="I", 7, 7*Q29), IF(#REF!="AIE", IF(#REF!="I", 5, 5*Q29)))))</f>
        <v>#REF!</v>
      </c>
      <c r="T29" s="14"/>
      <c r="U29" s="14"/>
      <c r="V29" s="14"/>
    </row>
    <row r="30" spans="1:22" ht="18" customHeight="1" x14ac:dyDescent="0.25">
      <c r="A30" s="13" t="s">
        <v>83</v>
      </c>
      <c r="B30" s="14"/>
      <c r="C30" s="14"/>
      <c r="D30" s="14"/>
      <c r="E30" s="14"/>
      <c r="F30" s="15"/>
      <c r="G30" s="16" t="s">
        <v>47</v>
      </c>
      <c r="H30" s="16" t="s">
        <v>79</v>
      </c>
      <c r="I30" s="16">
        <v>19</v>
      </c>
      <c r="J30" s="16">
        <v>2</v>
      </c>
      <c r="K30" s="16" t="str">
        <f t="shared" si="6"/>
        <v>ALIL</v>
      </c>
      <c r="L30" s="17" t="str">
        <f t="shared" si="7"/>
        <v>L</v>
      </c>
      <c r="M30" s="18" t="str">
        <f t="shared" si="8"/>
        <v>Baixa</v>
      </c>
      <c r="N30" s="19">
        <f t="shared" si="9"/>
        <v>7</v>
      </c>
      <c r="O30" s="20">
        <f>IF(H30="I",N30*Contagem!$U$11,IF(H30="E",N30*Contagem!$U$13,IF(H30="A",N30*Contagem!$U$12,IF(H30="T",N30*Contagem!$U$14,""))))</f>
        <v>7</v>
      </c>
      <c r="P30" s="16"/>
      <c r="Q30" s="83" t="e">
        <f>IF(#REF!="I", Sumário!$F$55, IF(#REF!="A", Sumário!$F$56, Sumário!$F$57))</f>
        <v>#REF!</v>
      </c>
      <c r="R30" s="83" t="e">
        <f>IF(#REF!="ALI",35*Q30,IF(#REF!="AIE",15*Q30))</f>
        <v>#REF!</v>
      </c>
      <c r="S30" s="14" t="e">
        <f>IF(OR(#REF!="EE",#REF!="CE"),IF(#REF!="I",4,(4*Q30)),IF(#REF!="SE",IF(#REF!="I",5, 5*Q30),IF(#REF!="ALI", IF(#REF!="I", 7, 7*Q30), IF(#REF!="AIE", IF(#REF!="I", 5, 5*Q30)))))</f>
        <v>#REF!</v>
      </c>
      <c r="T30" s="14"/>
      <c r="U30" s="14"/>
      <c r="V30" s="14"/>
    </row>
    <row r="31" spans="1:22" ht="18" customHeight="1" x14ac:dyDescent="0.25">
      <c r="A31" s="13"/>
      <c r="B31" s="14"/>
      <c r="C31" s="14"/>
      <c r="D31" s="14"/>
      <c r="E31" s="14"/>
      <c r="F31" s="15"/>
      <c r="G31" s="16"/>
      <c r="H31" s="16"/>
      <c r="I31" s="16"/>
      <c r="J31" s="16"/>
      <c r="K31" s="16" t="str">
        <f t="shared" si="6"/>
        <v/>
      </c>
      <c r="L31" s="17" t="str">
        <f t="shared" si="7"/>
        <v/>
      </c>
      <c r="M31" s="18" t="str">
        <f t="shared" si="8"/>
        <v/>
      </c>
      <c r="N31" s="19" t="str">
        <f t="shared" si="9"/>
        <v/>
      </c>
      <c r="O31" s="20" t="str">
        <f>IF(H31="I",N31*Contagem!$U$11,IF(H31="E",N31*Contagem!$U$13,IF(H31="A",N31*Contagem!$U$12,IF(H31="T",N31*Contagem!$U$14,""))))</f>
        <v/>
      </c>
      <c r="P31" s="16"/>
      <c r="Q31" s="83" t="e">
        <f>IF(#REF!="I", Sumário!$F$55, IF(#REF!="A", Sumário!$F$56, Sumário!$F$57))</f>
        <v>#REF!</v>
      </c>
      <c r="R31" s="83" t="e">
        <f>IF(#REF!="ALI",35*Q31,IF(#REF!="AIE",15*Q31))</f>
        <v>#REF!</v>
      </c>
      <c r="S31" s="14" t="e">
        <f>IF(OR(#REF!="EE",#REF!="CE"),IF(#REF!="I",4,(4*Q31)),IF(#REF!="SE",IF(#REF!="I",5, 5*Q31),IF(#REF!="ALI", IF(#REF!="I", 7, 7*Q31), IF(#REF!="AIE", IF(#REF!="I", 5, 5*Q31)))))</f>
        <v>#REF!</v>
      </c>
      <c r="T31" s="14"/>
      <c r="U31" s="14"/>
      <c r="V31" s="14"/>
    </row>
    <row r="32" spans="1:22" ht="18" customHeight="1" x14ac:dyDescent="0.25">
      <c r="A32" s="13"/>
      <c r="B32" s="14"/>
      <c r="C32" s="14"/>
      <c r="D32" s="14"/>
      <c r="E32" s="14"/>
      <c r="F32" s="15"/>
      <c r="G32" s="16"/>
      <c r="H32" s="16"/>
      <c r="I32" s="16"/>
      <c r="J32" s="16"/>
      <c r="K32" s="16" t="str">
        <f t="shared" si="6"/>
        <v/>
      </c>
      <c r="L32" s="17" t="str">
        <f t="shared" si="7"/>
        <v/>
      </c>
      <c r="M32" s="18" t="str">
        <f t="shared" si="8"/>
        <v/>
      </c>
      <c r="N32" s="19" t="str">
        <f t="shared" si="9"/>
        <v/>
      </c>
      <c r="O32" s="20" t="str">
        <f>IF(H32="I",N32*Contagem!$U$11,IF(H32="E",N32*Contagem!$U$13,IF(H32="A",N32*Contagem!$U$12,IF(H32="T",N32*Contagem!$U$14,""))))</f>
        <v/>
      </c>
      <c r="P32" s="16"/>
      <c r="Q32" s="83" t="e">
        <f>IF(#REF!="I", Sumário!$F$55, IF(#REF!="A", Sumário!$F$56, Sumário!$F$57))</f>
        <v>#REF!</v>
      </c>
      <c r="R32" s="83" t="e">
        <f>IF(#REF!="ALI",35*Q32,IF(#REF!="AIE",15*Q32))</f>
        <v>#REF!</v>
      </c>
      <c r="S32" s="14" t="e">
        <f>IF(OR(#REF!="EE",#REF!="CE"),IF(#REF!="I",4,(4*Q32)),IF(#REF!="SE",IF(#REF!="I",5, 5*Q32),IF(#REF!="ALI", IF(#REF!="I", 7, 7*Q32), IF(#REF!="AIE", IF(#REF!="I", 5, 5*Q32)))))</f>
        <v>#REF!</v>
      </c>
      <c r="T32" s="14"/>
      <c r="U32" s="14"/>
      <c r="V32" s="14"/>
    </row>
    <row r="33" spans="1:22" ht="18" customHeight="1" x14ac:dyDescent="0.25">
      <c r="A33" s="13"/>
      <c r="B33" s="14"/>
      <c r="C33" s="14"/>
      <c r="D33" s="14"/>
      <c r="E33" s="14"/>
      <c r="F33" s="15"/>
      <c r="G33" s="16"/>
      <c r="H33" s="16"/>
      <c r="I33" s="16"/>
      <c r="J33" s="16"/>
      <c r="K33" s="16" t="str">
        <f t="shared" si="6"/>
        <v/>
      </c>
      <c r="L33" s="17" t="str">
        <f t="shared" si="7"/>
        <v/>
      </c>
      <c r="M33" s="18" t="str">
        <f t="shared" si="8"/>
        <v/>
      </c>
      <c r="N33" s="19" t="str">
        <f t="shared" si="9"/>
        <v/>
      </c>
      <c r="O33" s="20" t="str">
        <f>IF(H33="I",N33*Contagem!$U$11,IF(H33="E",N33*Contagem!$U$13,IF(H33="A",N33*Contagem!$U$12,IF(H33="T",N33*Contagem!$U$14,""))))</f>
        <v/>
      </c>
      <c r="P33" s="16"/>
      <c r="Q33" s="83" t="e">
        <f>IF(#REF!="I", Sumário!$F$55, IF(#REF!="A", Sumário!$F$56, Sumário!$F$57))</f>
        <v>#REF!</v>
      </c>
      <c r="R33" s="83" t="e">
        <f>IF(#REF!="ALI",35*Q33,IF(#REF!="AIE",15*Q33))</f>
        <v>#REF!</v>
      </c>
      <c r="S33" s="14" t="e">
        <f>IF(OR(#REF!="EE",#REF!="CE"),IF(#REF!="I",4,(4*Q33)),IF(#REF!="SE",IF(#REF!="I",5, 5*Q33),IF(#REF!="ALI", IF(#REF!="I", 7, 7*Q33), IF(#REF!="AIE", IF(#REF!="I", 5, 5*Q33)))))</f>
        <v>#REF!</v>
      </c>
      <c r="T33" s="14"/>
      <c r="U33" s="14"/>
      <c r="V33" s="14"/>
    </row>
    <row r="34" spans="1:22" ht="18" customHeight="1" x14ac:dyDescent="0.25">
      <c r="A34" s="13"/>
      <c r="B34" s="14"/>
      <c r="C34" s="14"/>
      <c r="D34" s="14"/>
      <c r="E34" s="14"/>
      <c r="F34" s="15"/>
      <c r="G34" s="16"/>
      <c r="H34" s="16"/>
      <c r="I34" s="16"/>
      <c r="J34" s="16"/>
      <c r="K34" s="16" t="str">
        <f t="shared" si="6"/>
        <v/>
      </c>
      <c r="L34" s="17" t="str">
        <f t="shared" si="7"/>
        <v/>
      </c>
      <c r="M34" s="18" t="str">
        <f t="shared" si="8"/>
        <v/>
      </c>
      <c r="N34" s="19" t="str">
        <f t="shared" si="9"/>
        <v/>
      </c>
      <c r="O34" s="20" t="str">
        <f>IF(H34="I",N34*Contagem!$U$11,IF(H34="E",N34*Contagem!$U$13,IF(H34="A",N34*Contagem!$U$12,IF(H34="T",N34*Contagem!$U$14,""))))</f>
        <v/>
      </c>
      <c r="P34" s="16"/>
      <c r="Q34" s="83" t="e">
        <f>IF(#REF!="I", Sumário!$F$55, IF(#REF!="A", Sumário!$F$56, Sumário!$F$57))</f>
        <v>#REF!</v>
      </c>
      <c r="R34" s="83" t="e">
        <f>IF(#REF!="ALI",35*Q34,IF(#REF!="AIE",15*Q34))</f>
        <v>#REF!</v>
      </c>
      <c r="S34" s="14" t="e">
        <f>IF(OR(#REF!="EE",#REF!="CE"),IF(#REF!="I",4,(4*Q34)),IF(#REF!="SE",IF(#REF!="I",5, 5*Q34),IF(#REF!="ALI", IF(#REF!="I", 7, 7*Q34), IF(#REF!="AIE", IF(#REF!="I", 5, 5*Q34)))))</f>
        <v>#REF!</v>
      </c>
      <c r="T34" s="14"/>
      <c r="U34" s="14"/>
      <c r="V34" s="14"/>
    </row>
    <row r="35" spans="1:22" ht="18" customHeight="1" x14ac:dyDescent="0.25">
      <c r="A35" s="13"/>
      <c r="B35" s="14"/>
      <c r="C35" s="14"/>
      <c r="D35" s="14"/>
      <c r="E35" s="14"/>
      <c r="F35" s="15"/>
      <c r="G35" s="16"/>
      <c r="H35" s="16"/>
      <c r="I35" s="16"/>
      <c r="J35" s="16"/>
      <c r="K35" s="16" t="str">
        <f t="shared" si="6"/>
        <v/>
      </c>
      <c r="L35" s="17" t="str">
        <f t="shared" si="7"/>
        <v/>
      </c>
      <c r="M35" s="18" t="str">
        <f t="shared" si="8"/>
        <v/>
      </c>
      <c r="N35" s="19" t="str">
        <f t="shared" si="9"/>
        <v/>
      </c>
      <c r="O35" s="20" t="str">
        <f>IF(H35="I",N35*Contagem!$U$11,IF(H35="E",N35*Contagem!$U$13,IF(H35="A",N35*Contagem!$U$12,IF(H35="T",N35*Contagem!$U$14,""))))</f>
        <v/>
      </c>
      <c r="P35" s="16"/>
      <c r="Q35" s="83" t="e">
        <f>IF(#REF!="I", Sumário!$F$55, IF(#REF!="A", Sumário!$F$56, Sumário!$F$57))</f>
        <v>#REF!</v>
      </c>
      <c r="R35" s="83" t="e">
        <f>IF(#REF!="ALI",35*Q35,IF(#REF!="AIE",15*Q35))</f>
        <v>#REF!</v>
      </c>
      <c r="S35" s="14" t="e">
        <f>IF(OR(#REF!="EE",#REF!="CE"),IF(#REF!="I",4,(4*Q35)),IF(#REF!="SE",IF(#REF!="I",5, 5*Q35),IF(#REF!="ALI", IF(#REF!="I", 7, 7*Q35), IF(#REF!="AIE", IF(#REF!="I", 5, 5*Q35)))))</f>
        <v>#REF!</v>
      </c>
      <c r="T35" s="14"/>
      <c r="U35" s="14"/>
      <c r="V35" s="14"/>
    </row>
    <row r="36" spans="1:22" ht="18" customHeight="1" x14ac:dyDescent="0.25">
      <c r="A36" s="13"/>
      <c r="B36" s="14"/>
      <c r="C36" s="14"/>
      <c r="D36" s="14"/>
      <c r="E36" s="14"/>
      <c r="F36" s="15"/>
      <c r="G36" s="16"/>
      <c r="H36" s="16"/>
      <c r="I36" s="16"/>
      <c r="J36" s="16"/>
      <c r="K36" s="16" t="str">
        <f t="shared" si="6"/>
        <v/>
      </c>
      <c r="L36" s="17" t="str">
        <f t="shared" si="7"/>
        <v/>
      </c>
      <c r="M36" s="18" t="str">
        <f t="shared" si="8"/>
        <v/>
      </c>
      <c r="N36" s="19" t="str">
        <f t="shared" si="9"/>
        <v/>
      </c>
      <c r="O36" s="20" t="str">
        <f>IF(H36="I",N36*Contagem!$U$11,IF(H36="E",N36*Contagem!$U$13,IF(H36="A",N36*Contagem!$U$12,IF(H36="T",N36*Contagem!$U$14,""))))</f>
        <v/>
      </c>
      <c r="P36" s="16"/>
      <c r="Q36" s="83" t="e">
        <f>IF(#REF!="I", Sumário!$F$55, IF(#REF!="A", Sumário!$F$56, Sumário!$F$57))</f>
        <v>#REF!</v>
      </c>
      <c r="R36" s="83" t="e">
        <f>IF(#REF!="ALI",35*Q36,IF(#REF!="AIE",15*Q36))</f>
        <v>#REF!</v>
      </c>
      <c r="S36" s="14" t="e">
        <f>IF(OR(#REF!="EE",#REF!="CE"),IF(#REF!="I",4,(4*Q36)),IF(#REF!="SE",IF(#REF!="I",5, 5*Q36),IF(#REF!="ALI", IF(#REF!="I", 7, 7*Q36), IF(#REF!="AIE", IF(#REF!="I", 5, 5*Q36)))))</f>
        <v>#REF!</v>
      </c>
      <c r="T36" s="14"/>
      <c r="U36" s="14"/>
      <c r="V36" s="14"/>
    </row>
    <row r="37" spans="1:22" ht="18" customHeight="1" x14ac:dyDescent="0.25">
      <c r="A37" s="13"/>
      <c r="B37" s="14"/>
      <c r="C37" s="14"/>
      <c r="D37" s="14"/>
      <c r="E37" s="14"/>
      <c r="F37" s="15"/>
      <c r="G37" s="16"/>
      <c r="H37" s="16"/>
      <c r="I37" s="16"/>
      <c r="J37" s="16"/>
      <c r="K37" s="16" t="str">
        <f t="shared" si="6"/>
        <v/>
      </c>
      <c r="L37" s="17" t="str">
        <f t="shared" si="7"/>
        <v/>
      </c>
      <c r="M37" s="18" t="str">
        <f t="shared" si="8"/>
        <v/>
      </c>
      <c r="N37" s="19" t="str">
        <f t="shared" si="9"/>
        <v/>
      </c>
      <c r="O37" s="20" t="str">
        <f>IF(H37="I",N37*Contagem!$U$11,IF(H37="E",N37*Contagem!$U$13,IF(H37="A",N37*Contagem!$U$12,IF(H37="T",N37*Contagem!$U$14,""))))</f>
        <v/>
      </c>
      <c r="P37" s="16"/>
      <c r="Q37" s="83" t="e">
        <f>IF(#REF!="I", Sumário!$F$55, IF(#REF!="A", Sumário!$F$56, Sumário!$F$57))</f>
        <v>#REF!</v>
      </c>
      <c r="R37" s="83" t="e">
        <f>IF(#REF!="ALI",35*Q37,IF(#REF!="AIE",15*Q37))</f>
        <v>#REF!</v>
      </c>
      <c r="S37" s="14" t="e">
        <f>IF(OR(#REF!="EE",#REF!="CE"),IF(#REF!="I",4,(4*Q37)),IF(#REF!="SE",IF(#REF!="I",5, 5*Q37),IF(#REF!="ALI", IF(#REF!="I", 7, 7*Q37), IF(#REF!="AIE", IF(#REF!="I", 5, 5*Q37)))))</f>
        <v>#REF!</v>
      </c>
      <c r="T37" s="14"/>
      <c r="U37" s="14"/>
      <c r="V37" s="14"/>
    </row>
    <row r="38" spans="1:22" ht="18" customHeight="1" x14ac:dyDescent="0.25">
      <c r="A38" s="13"/>
      <c r="B38" s="14"/>
      <c r="C38" s="14"/>
      <c r="D38" s="14"/>
      <c r="E38" s="14"/>
      <c r="F38" s="15"/>
      <c r="G38" s="16"/>
      <c r="H38" s="16"/>
      <c r="I38" s="16"/>
      <c r="J38" s="16"/>
      <c r="K38" s="16" t="str">
        <f t="shared" si="6"/>
        <v/>
      </c>
      <c r="L38" s="17" t="str">
        <f t="shared" si="7"/>
        <v/>
      </c>
      <c r="M38" s="18" t="str">
        <f t="shared" si="8"/>
        <v/>
      </c>
      <c r="N38" s="19" t="str">
        <f t="shared" si="9"/>
        <v/>
      </c>
      <c r="O38" s="20" t="str">
        <f>IF(H38="I",N38*Contagem!$U$11,IF(H38="E",N38*Contagem!$U$13,IF(H38="A",N38*Contagem!$U$12,IF(H38="T",N38*Contagem!$U$14,""))))</f>
        <v/>
      </c>
      <c r="P38" s="16"/>
      <c r="Q38" s="83" t="e">
        <f>IF(#REF!="I", Sumário!$F$55, IF(#REF!="A", Sumário!$F$56, Sumário!$F$57))</f>
        <v>#REF!</v>
      </c>
      <c r="R38" s="83" t="e">
        <f>IF(#REF!="ALI",35*Q38,IF(#REF!="AIE",15*Q38))</f>
        <v>#REF!</v>
      </c>
      <c r="S38" s="14" t="e">
        <f>IF(OR(#REF!="EE",#REF!="CE"),IF(#REF!="I",4,(4*Q38)),IF(#REF!="SE",IF(#REF!="I",5, 5*Q38),IF(#REF!="ALI", IF(#REF!="I", 7, 7*Q38), IF(#REF!="AIE", IF(#REF!="I", 5, 5*Q38)))))</f>
        <v>#REF!</v>
      </c>
      <c r="T38" s="14"/>
      <c r="U38" s="14"/>
      <c r="V38" s="14"/>
    </row>
    <row r="39" spans="1:22" ht="18" customHeight="1" x14ac:dyDescent="0.25">
      <c r="A39" s="13"/>
      <c r="B39" s="14"/>
      <c r="C39" s="14"/>
      <c r="D39" s="14"/>
      <c r="E39" s="14"/>
      <c r="F39" s="15"/>
      <c r="G39" s="16"/>
      <c r="H39" s="16"/>
      <c r="I39" s="16"/>
      <c r="J39" s="16"/>
      <c r="K39" s="16" t="str">
        <f t="shared" si="6"/>
        <v/>
      </c>
      <c r="L39" s="17" t="str">
        <f t="shared" si="7"/>
        <v/>
      </c>
      <c r="M39" s="18" t="str">
        <f t="shared" si="8"/>
        <v/>
      </c>
      <c r="N39" s="19" t="str">
        <f t="shared" si="9"/>
        <v/>
      </c>
      <c r="O39" s="20" t="str">
        <f>IF(H39="I",N39*Contagem!$U$11,IF(H39="E",N39*Contagem!$U$13,IF(H39="A",N39*Contagem!$U$12,IF(H39="T",N39*Contagem!$U$14,""))))</f>
        <v/>
      </c>
      <c r="P39" s="16"/>
      <c r="Q39" s="83" t="e">
        <f>IF(#REF!="I", Sumário!$F$55, IF(#REF!="A", Sumário!$F$56, Sumário!$F$57))</f>
        <v>#REF!</v>
      </c>
      <c r="R39" s="83" t="e">
        <f>IF(#REF!="ALI",35*Q39,IF(#REF!="AIE",15*Q39))</f>
        <v>#REF!</v>
      </c>
      <c r="S39" s="14" t="e">
        <f>IF(OR(#REF!="EE",#REF!="CE"),IF(#REF!="I",4,(4*Q39)),IF(#REF!="SE",IF(#REF!="I",5, 5*Q39),IF(#REF!="ALI", IF(#REF!="I", 7, 7*Q39), IF(#REF!="AIE", IF(#REF!="I", 5, 5*Q39)))))</f>
        <v>#REF!</v>
      </c>
      <c r="T39" s="14"/>
      <c r="U39" s="14"/>
      <c r="V39" s="14"/>
    </row>
    <row r="40" spans="1:22" ht="18" customHeight="1" x14ac:dyDescent="0.25">
      <c r="A40" s="13"/>
      <c r="B40" s="14"/>
      <c r="C40" s="14"/>
      <c r="D40" s="14"/>
      <c r="E40" s="14"/>
      <c r="F40" s="15"/>
      <c r="G40" s="16"/>
      <c r="H40" s="16"/>
      <c r="I40" s="16"/>
      <c r="J40" s="16"/>
      <c r="K40" s="16" t="str">
        <f t="shared" si="6"/>
        <v/>
      </c>
      <c r="L40" s="17" t="str">
        <f t="shared" si="7"/>
        <v/>
      </c>
      <c r="M40" s="18" t="str">
        <f t="shared" si="8"/>
        <v/>
      </c>
      <c r="N40" s="19" t="str">
        <f t="shared" si="9"/>
        <v/>
      </c>
      <c r="O40" s="20" t="str">
        <f>IF(H40="I",N40*Contagem!$U$11,IF(H40="E",N40*Contagem!$U$13,IF(H40="A",N40*Contagem!$U$12,IF(H40="T",N40*Contagem!$U$14,""))))</f>
        <v/>
      </c>
      <c r="P40" s="16"/>
      <c r="Q40" s="83" t="e">
        <f>IF(#REF!="I", Sumário!$F$55, IF(#REF!="A", Sumário!$F$56, Sumário!$F$57))</f>
        <v>#REF!</v>
      </c>
      <c r="R40" s="83" t="e">
        <f>IF(#REF!="ALI",35*Q40,IF(#REF!="AIE",15*Q40))</f>
        <v>#REF!</v>
      </c>
      <c r="S40" s="14" t="e">
        <f>IF(OR(#REF!="EE",#REF!="CE"),IF(#REF!="I",4,(4*Q40)),IF(#REF!="SE",IF(#REF!="I",5, 5*Q40),IF(#REF!="ALI", IF(#REF!="I", 7, 7*Q40), IF(#REF!="AIE", IF(#REF!="I", 5, 5*Q40)))))</f>
        <v>#REF!</v>
      </c>
      <c r="T40" s="14"/>
      <c r="U40" s="14"/>
      <c r="V40" s="14"/>
    </row>
    <row r="41" spans="1:22" ht="18" customHeight="1" x14ac:dyDescent="0.25">
      <c r="A41" s="13"/>
      <c r="B41" s="14"/>
      <c r="C41" s="14"/>
      <c r="D41" s="14"/>
      <c r="E41" s="14"/>
      <c r="F41" s="15"/>
      <c r="G41" s="16"/>
      <c r="H41" s="16"/>
      <c r="I41" s="16"/>
      <c r="J41" s="16"/>
      <c r="K41" s="16" t="str">
        <f t="shared" si="6"/>
        <v/>
      </c>
      <c r="L41" s="17" t="str">
        <f t="shared" si="7"/>
        <v/>
      </c>
      <c r="M41" s="18" t="str">
        <f t="shared" si="8"/>
        <v/>
      </c>
      <c r="N41" s="19" t="str">
        <f t="shared" si="9"/>
        <v/>
      </c>
      <c r="O41" s="20" t="str">
        <f>IF(H41="I",N41*Contagem!$U$11,IF(H41="E",N41*Contagem!$U$13,IF(H41="A",N41*Contagem!$U$12,IF(H41="T",N41*Contagem!$U$14,""))))</f>
        <v/>
      </c>
      <c r="P41" s="16"/>
      <c r="Q41" s="83" t="e">
        <f>IF(#REF!="I", Sumário!$F$55, IF(#REF!="A", Sumário!$F$56, Sumário!$F$57))</f>
        <v>#REF!</v>
      </c>
      <c r="R41" s="83" t="e">
        <f>IF(#REF!="ALI",35*Q41,IF(#REF!="AIE",15*Q41))</f>
        <v>#REF!</v>
      </c>
      <c r="S41" s="14" t="e">
        <f>IF(OR(#REF!="EE",#REF!="CE"),IF(#REF!="I",4,(4*Q41)),IF(#REF!="SE",IF(#REF!="I",5, 5*Q41),IF(#REF!="ALI", IF(#REF!="I", 7, 7*Q41), IF(#REF!="AIE", IF(#REF!="I", 5, 5*Q41)))))</f>
        <v>#REF!</v>
      </c>
      <c r="T41" s="14"/>
      <c r="U41" s="14"/>
      <c r="V41" s="14"/>
    </row>
    <row r="42" spans="1:22" ht="18" customHeight="1" x14ac:dyDescent="0.25">
      <c r="A42" s="13"/>
      <c r="B42" s="14"/>
      <c r="C42" s="14"/>
      <c r="D42" s="14"/>
      <c r="E42" s="14"/>
      <c r="F42" s="15"/>
      <c r="G42" s="16"/>
      <c r="H42" s="16"/>
      <c r="I42" s="16"/>
      <c r="J42" s="16"/>
      <c r="K42" s="16" t="str">
        <f t="shared" si="6"/>
        <v/>
      </c>
      <c r="L42" s="17" t="str">
        <f t="shared" si="7"/>
        <v/>
      </c>
      <c r="M42" s="18" t="str">
        <f t="shared" si="8"/>
        <v/>
      </c>
      <c r="N42" s="19" t="str">
        <f t="shared" si="9"/>
        <v/>
      </c>
      <c r="O42" s="20" t="str">
        <f>IF(H42="I",N42*Contagem!$U$11,IF(H42="E",N42*Contagem!$U$13,IF(H42="A",N42*Contagem!$U$12,IF(H42="T",N42*Contagem!$U$14,""))))</f>
        <v/>
      </c>
      <c r="P42" s="16"/>
      <c r="Q42" s="83" t="e">
        <f>IF(#REF!="I", Sumário!$F$55, IF(#REF!="A", Sumário!$F$56, Sumário!$F$57))</f>
        <v>#REF!</v>
      </c>
      <c r="R42" s="83" t="e">
        <f>IF(#REF!="ALI",35*Q42,IF(#REF!="AIE",15*Q42))</f>
        <v>#REF!</v>
      </c>
      <c r="S42" s="14" t="e">
        <f>IF(OR(#REF!="EE",#REF!="CE"),IF(#REF!="I",4,(4*Q42)),IF(#REF!="SE",IF(#REF!="I",5, 5*Q42),IF(#REF!="ALI", IF(#REF!="I", 7, 7*Q42), IF(#REF!="AIE", IF(#REF!="I", 5, 5*Q42)))))</f>
        <v>#REF!</v>
      </c>
      <c r="T42" s="14"/>
      <c r="U42" s="14"/>
      <c r="V42" s="14"/>
    </row>
    <row r="43" spans="1:22" ht="18" customHeight="1" x14ac:dyDescent="0.25">
      <c r="A43" s="13"/>
      <c r="B43" s="14"/>
      <c r="C43" s="14"/>
      <c r="D43" s="14"/>
      <c r="E43" s="14"/>
      <c r="F43" s="15"/>
      <c r="G43" s="16"/>
      <c r="H43" s="16"/>
      <c r="I43" s="16"/>
      <c r="J43" s="16"/>
      <c r="K43" s="16" t="str">
        <f t="shared" si="6"/>
        <v/>
      </c>
      <c r="L43" s="17" t="str">
        <f t="shared" si="7"/>
        <v/>
      </c>
      <c r="M43" s="18" t="str">
        <f t="shared" si="8"/>
        <v/>
      </c>
      <c r="N43" s="19" t="str">
        <f t="shared" si="9"/>
        <v/>
      </c>
      <c r="O43" s="20" t="str">
        <f>IF(H43="I",N43*Contagem!$U$11,IF(H43="E",N43*Contagem!$U$13,IF(H43="A",N43*Contagem!$U$12,IF(H43="T",N43*Contagem!$U$14,""))))</f>
        <v/>
      </c>
      <c r="P43" s="16"/>
      <c r="Q43" s="83" t="e">
        <f>IF(#REF!="I", Sumário!$F$55, IF(#REF!="A", Sumário!$F$56, Sumário!$F$57))</f>
        <v>#REF!</v>
      </c>
      <c r="R43" s="83" t="e">
        <f>IF(#REF!="ALI",35*Q43,IF(#REF!="AIE",15*Q43))</f>
        <v>#REF!</v>
      </c>
      <c r="S43" s="14" t="e">
        <f>IF(OR(#REF!="EE",#REF!="CE"),IF(#REF!="I",4,(4*Q43)),IF(#REF!="SE",IF(#REF!="I",5, 5*Q43),IF(#REF!="ALI", IF(#REF!="I", 7, 7*Q43), IF(#REF!="AIE", IF(#REF!="I", 5, 5*Q43)))))</f>
        <v>#REF!</v>
      </c>
      <c r="T43" s="14"/>
      <c r="U43" s="14"/>
      <c r="V43" s="14"/>
    </row>
    <row r="44" spans="1:22" ht="18" customHeight="1" x14ac:dyDescent="0.25">
      <c r="A44" s="13"/>
      <c r="B44" s="14"/>
      <c r="C44" s="14"/>
      <c r="D44" s="14"/>
      <c r="E44" s="14"/>
      <c r="F44" s="15"/>
      <c r="G44" s="16"/>
      <c r="H44" s="16"/>
      <c r="I44" s="16"/>
      <c r="J44" s="16"/>
      <c r="K44" s="16" t="str">
        <f t="shared" si="6"/>
        <v/>
      </c>
      <c r="L44" s="17" t="str">
        <f t="shared" si="7"/>
        <v/>
      </c>
      <c r="M44" s="18" t="str">
        <f t="shared" si="8"/>
        <v/>
      </c>
      <c r="N44" s="19" t="str">
        <f t="shared" si="9"/>
        <v/>
      </c>
      <c r="O44" s="20" t="str">
        <f>IF(H44="I",N44*Contagem!$U$11,IF(H44="E",N44*Contagem!$U$13,IF(H44="A",N44*Contagem!$U$12,IF(H44="T",N44*Contagem!$U$14,""))))</f>
        <v/>
      </c>
      <c r="P44" s="16"/>
      <c r="Q44" s="83" t="e">
        <f>IF(#REF!="I", Sumário!$F$55, IF(#REF!="A", Sumário!$F$56, Sumário!$F$57))</f>
        <v>#REF!</v>
      </c>
      <c r="R44" s="83" t="e">
        <f>IF(#REF!="ALI",35*Q44,IF(#REF!="AIE",15*Q44))</f>
        <v>#REF!</v>
      </c>
      <c r="S44" s="14" t="e">
        <f>IF(OR(#REF!="EE",#REF!="CE"),IF(#REF!="I",4,(4*Q44)),IF(#REF!="SE",IF(#REF!="I",5, 5*Q44),IF(#REF!="ALI", IF(#REF!="I", 7, 7*Q44), IF(#REF!="AIE", IF(#REF!="I", 5, 5*Q44)))))</f>
        <v>#REF!</v>
      </c>
      <c r="T44" s="14"/>
      <c r="U44" s="14"/>
      <c r="V44" s="14"/>
    </row>
    <row r="45" spans="1:22" ht="18" customHeight="1" x14ac:dyDescent="0.25">
      <c r="A45" s="13"/>
      <c r="B45" s="14"/>
      <c r="C45" s="14"/>
      <c r="D45" s="14"/>
      <c r="E45" s="14"/>
      <c r="F45" s="15"/>
      <c r="G45" s="16"/>
      <c r="H45" s="16"/>
      <c r="I45" s="16"/>
      <c r="J45" s="16"/>
      <c r="K45" s="16" t="str">
        <f t="shared" ref="K45:K58" si="10">CONCATENATE(G45,L45)</f>
        <v/>
      </c>
      <c r="L45" s="17" t="str">
        <f t="shared" ref="L45:L58" si="11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/>
      </c>
      <c r="M45" s="18" t="str">
        <f t="shared" ref="M45:M58" si="12">IF(L45="L","Baixa",IF(L45="A","Média",IF(L45="","","Alta")))</f>
        <v/>
      </c>
      <c r="N45" s="19" t="str">
        <f t="shared" ref="N45:N58" si="13">IF(ISBLANK(G45),"",IF(G45="ALI",IF(L45="L",7,IF(L45="A",10,15)),IF(G45="AIE",IF(L45="L",5,IF(L45="A",7,10)),IF(G45="SE",IF(L45="L",4,IF(L45="A",5,7)),IF(OR(G45="EE",G45="CE"),IF(L45="L",3,IF(L45="A",4,6)))))))</f>
        <v/>
      </c>
      <c r="O45" s="20" t="str">
        <f>IF(H45="I",N45*Contagem!$U$11,IF(H45="E",N45*Contagem!$U$13,IF(H45="A",N45*Contagem!$U$12,IF(H45="T",N45*Contagem!$U$14,""))))</f>
        <v/>
      </c>
      <c r="P45" s="16"/>
      <c r="Q45" s="83" t="e">
        <f>IF(#REF!="I", Sumário!$F$55, IF(#REF!="A", Sumário!$F$56, Sumário!$F$57))</f>
        <v>#REF!</v>
      </c>
      <c r="R45" s="83" t="e">
        <f>IF(#REF!="ALI",35*Q45,IF(#REF!="AIE",15*Q45))</f>
        <v>#REF!</v>
      </c>
      <c r="S45" s="14" t="e">
        <f>IF(OR(#REF!="EE",#REF!="CE"),IF(#REF!="I",4,(4*Q45)),IF(#REF!="SE",IF(#REF!="I",5, 5*Q45),IF(#REF!="ALI", IF(#REF!="I", 7, 7*Q45), IF(#REF!="AIE", IF(#REF!="I", 5, 5*Q45)))))</f>
        <v>#REF!</v>
      </c>
      <c r="T45" s="14"/>
      <c r="U45" s="14"/>
      <c r="V45" s="14"/>
    </row>
    <row r="46" spans="1:22" ht="18" customHeight="1" x14ac:dyDescent="0.25">
      <c r="A46" s="13"/>
      <c r="B46" s="14"/>
      <c r="C46" s="14"/>
      <c r="D46" s="14"/>
      <c r="E46" s="14"/>
      <c r="F46" s="15"/>
      <c r="G46" s="16"/>
      <c r="H46" s="16"/>
      <c r="I46" s="16"/>
      <c r="J46" s="16"/>
      <c r="K46" s="16" t="str">
        <f t="shared" si="10"/>
        <v/>
      </c>
      <c r="L46" s="17" t="str">
        <f t="shared" si="11"/>
        <v/>
      </c>
      <c r="M46" s="18" t="str">
        <f t="shared" si="12"/>
        <v/>
      </c>
      <c r="N46" s="19" t="str">
        <f t="shared" si="13"/>
        <v/>
      </c>
      <c r="O46" s="20" t="str">
        <f>IF(H46="I",N46*Contagem!$U$11,IF(H46="E",N46*Contagem!$U$13,IF(H46="A",N46*Contagem!$U$12,IF(H46="T",N46*Contagem!$U$14,""))))</f>
        <v/>
      </c>
      <c r="P46" s="16"/>
      <c r="Q46" s="83" t="e">
        <f>IF(#REF!="I", Sumário!$F$55, IF(#REF!="A", Sumário!$F$56, Sumário!$F$57))</f>
        <v>#REF!</v>
      </c>
      <c r="R46" s="83" t="e">
        <f>IF(#REF!="ALI",35*Q46,IF(#REF!="AIE",15*Q46))</f>
        <v>#REF!</v>
      </c>
      <c r="S46" s="14" t="e">
        <f>IF(OR(#REF!="EE",#REF!="CE"),IF(#REF!="I",4,(4*Q46)),IF(#REF!="SE",IF(#REF!="I",5, 5*Q46),IF(#REF!="ALI", IF(#REF!="I", 7, 7*Q46), IF(#REF!="AIE", IF(#REF!="I", 5, 5*Q46)))))</f>
        <v>#REF!</v>
      </c>
      <c r="T46" s="14"/>
      <c r="U46" s="14"/>
      <c r="V46" s="14"/>
    </row>
    <row r="47" spans="1:22" ht="18" customHeight="1" x14ac:dyDescent="0.25">
      <c r="A47" s="13"/>
      <c r="B47" s="14"/>
      <c r="C47" s="14"/>
      <c r="D47" s="14"/>
      <c r="E47" s="14"/>
      <c r="F47" s="15"/>
      <c r="G47" s="16"/>
      <c r="H47" s="16"/>
      <c r="I47" s="16"/>
      <c r="J47" s="16"/>
      <c r="K47" s="16" t="str">
        <f t="shared" si="10"/>
        <v/>
      </c>
      <c r="L47" s="17" t="str">
        <f t="shared" si="11"/>
        <v/>
      </c>
      <c r="M47" s="18" t="str">
        <f t="shared" si="12"/>
        <v/>
      </c>
      <c r="N47" s="19" t="str">
        <f t="shared" si="13"/>
        <v/>
      </c>
      <c r="O47" s="20" t="str">
        <f>IF(H47="I",N47*Contagem!$U$11,IF(H47="E",N47*Contagem!$U$13,IF(H47="A",N47*Contagem!$U$12,IF(H47="T",N47*Contagem!$U$14,""))))</f>
        <v/>
      </c>
      <c r="P47" s="16"/>
      <c r="Q47" s="83" t="e">
        <f>IF(#REF!="I", Sumário!$F$55, IF(#REF!="A", Sumário!$F$56, Sumário!$F$57))</f>
        <v>#REF!</v>
      </c>
      <c r="R47" s="83" t="e">
        <f>IF(#REF!="ALI",35*Q47,IF(#REF!="AIE",15*Q47))</f>
        <v>#REF!</v>
      </c>
      <c r="S47" s="14" t="e">
        <f>IF(OR(#REF!="EE",#REF!="CE"),IF(#REF!="I",4,(4*Q47)),IF(#REF!="SE",IF(#REF!="I",5, 5*Q47),IF(#REF!="ALI", IF(#REF!="I", 7, 7*Q47), IF(#REF!="AIE", IF(#REF!="I", 5, 5*Q47)))))</f>
        <v>#REF!</v>
      </c>
      <c r="T47" s="14"/>
      <c r="U47" s="14"/>
      <c r="V47" s="14"/>
    </row>
    <row r="48" spans="1:22" ht="18" customHeight="1" x14ac:dyDescent="0.25">
      <c r="A48" s="13"/>
      <c r="B48" s="14"/>
      <c r="C48" s="14"/>
      <c r="D48" s="14"/>
      <c r="E48" s="14"/>
      <c r="F48" s="15"/>
      <c r="G48" s="16"/>
      <c r="H48" s="16"/>
      <c r="I48" s="16"/>
      <c r="J48" s="16"/>
      <c r="K48" s="16" t="str">
        <f t="shared" si="10"/>
        <v/>
      </c>
      <c r="L48" s="17" t="str">
        <f t="shared" si="11"/>
        <v/>
      </c>
      <c r="M48" s="18" t="str">
        <f t="shared" si="12"/>
        <v/>
      </c>
      <c r="N48" s="19" t="str">
        <f t="shared" si="13"/>
        <v/>
      </c>
      <c r="O48" s="20" t="str">
        <f>IF(H48="I",N48*Contagem!$U$11,IF(H48="E",N48*Contagem!$U$13,IF(H48="A",N48*Contagem!$U$12,IF(H48="T",N48*Contagem!$U$14,""))))</f>
        <v/>
      </c>
      <c r="P48" s="16"/>
      <c r="Q48" s="83" t="e">
        <f>IF(#REF!="I", Sumário!$F$55, IF(#REF!="A", Sumário!$F$56, Sumário!$F$57))</f>
        <v>#REF!</v>
      </c>
      <c r="R48" s="83" t="e">
        <f>IF(#REF!="ALI",35*Q48,IF(#REF!="AIE",15*Q48))</f>
        <v>#REF!</v>
      </c>
      <c r="S48" s="14" t="e">
        <f>IF(OR(#REF!="EE",#REF!="CE"),IF(#REF!="I",4,(4*Q48)),IF(#REF!="SE",IF(#REF!="I",5, 5*Q48),IF(#REF!="ALI", IF(#REF!="I", 7, 7*Q48), IF(#REF!="AIE", IF(#REF!="I", 5, 5*Q48)))))</f>
        <v>#REF!</v>
      </c>
      <c r="T48" s="14"/>
      <c r="U48" s="14"/>
      <c r="V48" s="14"/>
    </row>
    <row r="49" spans="1:22" ht="18" customHeight="1" x14ac:dyDescent="0.25">
      <c r="A49" s="13"/>
      <c r="B49" s="14"/>
      <c r="C49" s="14"/>
      <c r="D49" s="14"/>
      <c r="E49" s="14"/>
      <c r="F49" s="15"/>
      <c r="G49" s="16"/>
      <c r="H49" s="16"/>
      <c r="I49" s="16"/>
      <c r="J49" s="16"/>
      <c r="K49" s="16" t="str">
        <f t="shared" si="10"/>
        <v/>
      </c>
      <c r="L49" s="17" t="str">
        <f t="shared" si="11"/>
        <v/>
      </c>
      <c r="M49" s="18" t="str">
        <f t="shared" si="12"/>
        <v/>
      </c>
      <c r="N49" s="19" t="str">
        <f t="shared" si="13"/>
        <v/>
      </c>
      <c r="O49" s="20" t="str">
        <f>IF(H49="I",N49*Contagem!$U$11,IF(H49="E",N49*Contagem!$U$13,IF(H49="A",N49*Contagem!$U$12,IF(H49="T",N49*Contagem!$U$14,""))))</f>
        <v/>
      </c>
      <c r="P49" s="16"/>
      <c r="Q49" s="83" t="e">
        <f>IF(#REF!="I", Sumário!$F$55, IF(#REF!="A", Sumário!$F$56, Sumário!$F$57))</f>
        <v>#REF!</v>
      </c>
      <c r="R49" s="83" t="e">
        <f>IF(#REF!="ALI",35*Q49,IF(#REF!="AIE",15*Q49))</f>
        <v>#REF!</v>
      </c>
      <c r="S49" s="14" t="e">
        <f>IF(OR(#REF!="EE",#REF!="CE"),IF(#REF!="I",4,(4*Q49)),IF(#REF!="SE",IF(#REF!="I",5, 5*Q49),IF(#REF!="ALI", IF(#REF!="I", 7, 7*Q49), IF(#REF!="AIE", IF(#REF!="I", 5, 5*Q49)))))</f>
        <v>#REF!</v>
      </c>
      <c r="T49" s="14"/>
      <c r="U49" s="14"/>
      <c r="V49" s="14"/>
    </row>
    <row r="50" spans="1:22" ht="18" customHeight="1" x14ac:dyDescent="0.25">
      <c r="A50" s="13"/>
      <c r="B50" s="14"/>
      <c r="C50" s="14"/>
      <c r="D50" s="14"/>
      <c r="E50" s="14"/>
      <c r="F50" s="15"/>
      <c r="G50" s="16"/>
      <c r="H50" s="16"/>
      <c r="I50" s="16"/>
      <c r="J50" s="16"/>
      <c r="K50" s="16" t="str">
        <f t="shared" si="10"/>
        <v/>
      </c>
      <c r="L50" s="17" t="str">
        <f t="shared" si="11"/>
        <v/>
      </c>
      <c r="M50" s="18" t="str">
        <f t="shared" si="12"/>
        <v/>
      </c>
      <c r="N50" s="19" t="str">
        <f t="shared" si="13"/>
        <v/>
      </c>
      <c r="O50" s="20" t="str">
        <f>IF(H50="I",N50*Contagem!$U$11,IF(H50="E",N50*Contagem!$U$13,IF(H50="A",N50*Contagem!$U$12,IF(H50="T",N50*Contagem!$U$14,""))))</f>
        <v/>
      </c>
      <c r="P50" s="16"/>
      <c r="Q50" s="83" t="e">
        <f>IF(#REF!="I", Sumário!$F$55, IF(#REF!="A", Sumário!$F$56, Sumário!$F$57))</f>
        <v>#REF!</v>
      </c>
      <c r="R50" s="83" t="e">
        <f>IF(#REF!="ALI",35*Q50,IF(#REF!="AIE",15*Q50))</f>
        <v>#REF!</v>
      </c>
      <c r="S50" s="14" t="e">
        <f>IF(OR(#REF!="EE",#REF!="CE"),IF(#REF!="I",4,(4*Q50)),IF(#REF!="SE",IF(#REF!="I",5, 5*Q50),IF(#REF!="ALI", IF(#REF!="I", 7, 7*Q50), IF(#REF!="AIE", IF(#REF!="I", 5, 5*Q50)))))</f>
        <v>#REF!</v>
      </c>
      <c r="T50" s="14"/>
      <c r="U50" s="14"/>
      <c r="V50" s="14"/>
    </row>
    <row r="51" spans="1:22" ht="18" customHeight="1" x14ac:dyDescent="0.25">
      <c r="A51" s="13"/>
      <c r="B51" s="14"/>
      <c r="C51" s="14"/>
      <c r="D51" s="14"/>
      <c r="E51" s="14"/>
      <c r="F51" s="15"/>
      <c r="G51" s="16"/>
      <c r="H51" s="16"/>
      <c r="I51" s="16"/>
      <c r="J51" s="16"/>
      <c r="K51" s="16" t="str">
        <f t="shared" si="10"/>
        <v/>
      </c>
      <c r="L51" s="17" t="str">
        <f t="shared" si="11"/>
        <v/>
      </c>
      <c r="M51" s="18" t="str">
        <f t="shared" si="12"/>
        <v/>
      </c>
      <c r="N51" s="19" t="str">
        <f t="shared" si="13"/>
        <v/>
      </c>
      <c r="O51" s="20" t="str">
        <f>IF(H51="I",N51*Contagem!$U$11,IF(H51="E",N51*Contagem!$U$13,IF(H51="A",N51*Contagem!$U$12,IF(H51="T",N51*Contagem!$U$14,""))))</f>
        <v/>
      </c>
      <c r="P51" s="16"/>
      <c r="Q51" s="83" t="e">
        <f>IF(#REF!="I", Sumário!$F$55, IF(#REF!="A", Sumário!$F$56, Sumário!$F$57))</f>
        <v>#REF!</v>
      </c>
      <c r="R51" s="83" t="e">
        <f>IF(#REF!="ALI",35*Q51,IF(#REF!="AIE",15*Q51))</f>
        <v>#REF!</v>
      </c>
      <c r="S51" s="14" t="e">
        <f>IF(OR(#REF!="EE",#REF!="CE"),IF(#REF!="I",4,(4*Q51)),IF(#REF!="SE",IF(#REF!="I",5, 5*Q51),IF(#REF!="ALI", IF(#REF!="I", 7, 7*Q51), IF(#REF!="AIE", IF(#REF!="I", 5, 5*Q51)))))</f>
        <v>#REF!</v>
      </c>
      <c r="T51" s="14"/>
      <c r="U51" s="14"/>
      <c r="V51" s="14"/>
    </row>
    <row r="52" spans="1:22" ht="18" customHeight="1" x14ac:dyDescent="0.25">
      <c r="A52" s="13"/>
      <c r="B52" s="14"/>
      <c r="C52" s="14"/>
      <c r="D52" s="14"/>
      <c r="E52" s="14"/>
      <c r="F52" s="15"/>
      <c r="G52" s="16"/>
      <c r="H52" s="16"/>
      <c r="I52" s="16"/>
      <c r="J52" s="16"/>
      <c r="K52" s="16" t="str">
        <f t="shared" si="10"/>
        <v/>
      </c>
      <c r="L52" s="17" t="str">
        <f t="shared" si="11"/>
        <v/>
      </c>
      <c r="M52" s="18" t="str">
        <f t="shared" si="12"/>
        <v/>
      </c>
      <c r="N52" s="19" t="str">
        <f t="shared" si="13"/>
        <v/>
      </c>
      <c r="O52" s="20" t="str">
        <f>IF(H52="I",N52*Contagem!$U$11,IF(H52="E",N52*Contagem!$U$13,IF(H52="A",N52*Contagem!$U$12,IF(H52="T",N52*Contagem!$U$14,""))))</f>
        <v/>
      </c>
      <c r="P52" s="16"/>
      <c r="Q52" s="83" t="e">
        <f>IF(#REF!="I", Sumário!$F$55, IF(#REF!="A", Sumário!$F$56, Sumário!$F$57))</f>
        <v>#REF!</v>
      </c>
      <c r="R52" s="83" t="e">
        <f>IF(#REF!="ALI",35*Q52,IF(#REF!="AIE",15*Q52))</f>
        <v>#REF!</v>
      </c>
      <c r="S52" s="14" t="e">
        <f>IF(OR(#REF!="EE",#REF!="CE"),IF(#REF!="I",4,(4*Q52)),IF(#REF!="SE",IF(#REF!="I",5, 5*Q52),IF(#REF!="ALI", IF(#REF!="I", 7, 7*Q52), IF(#REF!="AIE", IF(#REF!="I", 5, 5*Q52)))))</f>
        <v>#REF!</v>
      </c>
      <c r="T52" s="14"/>
      <c r="U52" s="14"/>
      <c r="V52" s="14"/>
    </row>
    <row r="53" spans="1:22" ht="18" customHeight="1" x14ac:dyDescent="0.25">
      <c r="A53" s="13"/>
      <c r="B53" s="14"/>
      <c r="C53" s="14"/>
      <c r="D53" s="14"/>
      <c r="E53" s="14"/>
      <c r="F53" s="15"/>
      <c r="G53" s="16"/>
      <c r="H53" s="16"/>
      <c r="I53" s="16"/>
      <c r="J53" s="16"/>
      <c r="K53" s="16" t="str">
        <f t="shared" si="10"/>
        <v/>
      </c>
      <c r="L53" s="17" t="str">
        <f t="shared" si="11"/>
        <v/>
      </c>
      <c r="M53" s="18" t="str">
        <f t="shared" si="12"/>
        <v/>
      </c>
      <c r="N53" s="19" t="str">
        <f t="shared" si="13"/>
        <v/>
      </c>
      <c r="O53" s="20" t="str">
        <f>IF(H53="I",N53*Contagem!$U$11,IF(H53="E",N53*Contagem!$U$13,IF(H53="A",N53*Contagem!$U$12,IF(H53="T",N53*Contagem!$U$14,""))))</f>
        <v/>
      </c>
      <c r="P53" s="16"/>
      <c r="Q53" s="83" t="e">
        <f>IF(#REF!="I", Sumário!$F$55, IF(#REF!="A", Sumário!$F$56, Sumário!$F$57))</f>
        <v>#REF!</v>
      </c>
      <c r="R53" s="83" t="e">
        <f>IF(#REF!="ALI",35*Q53,IF(#REF!="AIE",15*Q53))</f>
        <v>#REF!</v>
      </c>
      <c r="S53" s="14" t="e">
        <f>IF(OR(#REF!="EE",#REF!="CE"),IF(#REF!="I",4,(4*Q53)),IF(#REF!="SE",IF(#REF!="I",5, 5*Q53),IF(#REF!="ALI", IF(#REF!="I", 7, 7*Q53), IF(#REF!="AIE", IF(#REF!="I", 5, 5*Q53)))))</f>
        <v>#REF!</v>
      </c>
      <c r="T53" s="14"/>
      <c r="U53" s="14"/>
      <c r="V53" s="14"/>
    </row>
    <row r="54" spans="1:22" ht="18" customHeight="1" x14ac:dyDescent="0.25">
      <c r="A54" s="13"/>
      <c r="B54" s="14"/>
      <c r="C54" s="14"/>
      <c r="D54" s="14"/>
      <c r="E54" s="14"/>
      <c r="F54" s="15"/>
      <c r="G54" s="16"/>
      <c r="H54" s="16"/>
      <c r="I54" s="16"/>
      <c r="J54" s="16"/>
      <c r="K54" s="16" t="str">
        <f t="shared" si="10"/>
        <v/>
      </c>
      <c r="L54" s="17" t="str">
        <f t="shared" si="11"/>
        <v/>
      </c>
      <c r="M54" s="18" t="str">
        <f t="shared" si="12"/>
        <v/>
      </c>
      <c r="N54" s="19" t="str">
        <f t="shared" si="13"/>
        <v/>
      </c>
      <c r="O54" s="20" t="str">
        <f>IF(H54="I",N54*Contagem!$U$11,IF(H54="E",N54*Contagem!$U$13,IF(H54="A",N54*Contagem!$U$12,IF(H54="T",N54*Contagem!$U$14,""))))</f>
        <v/>
      </c>
      <c r="P54" s="16"/>
      <c r="Q54" s="83" t="e">
        <f>IF(#REF!="I", Sumário!$F$55, IF(#REF!="A", Sumário!$F$56, Sumário!$F$57))</f>
        <v>#REF!</v>
      </c>
      <c r="R54" s="83" t="e">
        <f>IF(#REF!="ALI",35*Q54,IF(#REF!="AIE",15*Q54))</f>
        <v>#REF!</v>
      </c>
      <c r="S54" s="14" t="e">
        <f>IF(OR(#REF!="EE",#REF!="CE"),IF(#REF!="I",4,(4*Q54)),IF(#REF!="SE",IF(#REF!="I",5, 5*Q54),IF(#REF!="ALI", IF(#REF!="I", 7, 7*Q54), IF(#REF!="AIE", IF(#REF!="I", 5, 5*Q54)))))</f>
        <v>#REF!</v>
      </c>
      <c r="T54" s="14"/>
      <c r="U54" s="14"/>
      <c r="V54" s="14"/>
    </row>
    <row r="55" spans="1:22" ht="18" customHeight="1" x14ac:dyDescent="0.25">
      <c r="A55" s="13"/>
      <c r="B55" s="14"/>
      <c r="C55" s="14"/>
      <c r="D55" s="14"/>
      <c r="E55" s="14"/>
      <c r="F55" s="15"/>
      <c r="G55" s="16"/>
      <c r="H55" s="16"/>
      <c r="I55" s="16"/>
      <c r="J55" s="16"/>
      <c r="K55" s="16" t="str">
        <f t="shared" si="10"/>
        <v/>
      </c>
      <c r="L55" s="17" t="str">
        <f t="shared" si="11"/>
        <v/>
      </c>
      <c r="M55" s="18" t="str">
        <f t="shared" si="12"/>
        <v/>
      </c>
      <c r="N55" s="19" t="str">
        <f t="shared" si="13"/>
        <v/>
      </c>
      <c r="O55" s="20" t="str">
        <f>IF(H55="I",N55*Contagem!$U$11,IF(H55="E",N55*Contagem!$U$13,IF(H55="A",N55*Contagem!$U$12,IF(H55="T",N55*Contagem!$U$14,""))))</f>
        <v/>
      </c>
      <c r="P55" s="16"/>
      <c r="Q55" s="83" t="e">
        <f>IF(#REF!="I", Sumário!$F$55, IF(#REF!="A", Sumário!$F$56, Sumário!$F$57))</f>
        <v>#REF!</v>
      </c>
      <c r="R55" s="83" t="e">
        <f>IF(#REF!="ALI",35*Q55,IF(#REF!="AIE",15*Q55))</f>
        <v>#REF!</v>
      </c>
      <c r="S55" s="14" t="e">
        <f>IF(OR(#REF!="EE",#REF!="CE"),IF(#REF!="I",4,(4*Q55)),IF(#REF!="SE",IF(#REF!="I",5, 5*Q55),IF(#REF!="ALI", IF(#REF!="I", 7, 7*Q55), IF(#REF!="AIE", IF(#REF!="I", 5, 5*Q55)))))</f>
        <v>#REF!</v>
      </c>
      <c r="T55" s="14"/>
      <c r="U55" s="14"/>
      <c r="V55" s="14"/>
    </row>
    <row r="56" spans="1:22" ht="18" customHeight="1" x14ac:dyDescent="0.25">
      <c r="A56" s="13"/>
      <c r="B56" s="14"/>
      <c r="C56" s="14"/>
      <c r="D56" s="14"/>
      <c r="E56" s="14"/>
      <c r="F56" s="15"/>
      <c r="G56" s="16"/>
      <c r="H56" s="16"/>
      <c r="I56" s="16"/>
      <c r="J56" s="16"/>
      <c r="K56" s="16" t="str">
        <f t="shared" si="10"/>
        <v/>
      </c>
      <c r="L56" s="17" t="str">
        <f t="shared" si="11"/>
        <v/>
      </c>
      <c r="M56" s="18" t="str">
        <f t="shared" si="12"/>
        <v/>
      </c>
      <c r="N56" s="19" t="str">
        <f t="shared" si="13"/>
        <v/>
      </c>
      <c r="O56" s="20" t="str">
        <f>IF(H56="I",N56*Contagem!$U$11,IF(H56="E",N56*Contagem!$U$13,IF(H56="A",N56*Contagem!$U$12,IF(H56="T",N56*Contagem!$U$14,""))))</f>
        <v/>
      </c>
      <c r="P56" s="16"/>
      <c r="Q56" s="83" t="e">
        <f>IF(#REF!="I", Sumário!$F$55, IF(#REF!="A", Sumário!$F$56, Sumário!$F$57))</f>
        <v>#REF!</v>
      </c>
      <c r="R56" s="83" t="e">
        <f>IF(#REF!="ALI",35*Q56,IF(#REF!="AIE",15*Q56))</f>
        <v>#REF!</v>
      </c>
      <c r="S56" s="14" t="e">
        <f>IF(OR(#REF!="EE",#REF!="CE"),IF(#REF!="I",4,(4*Q56)),IF(#REF!="SE",IF(#REF!="I",5, 5*Q56),IF(#REF!="ALI", IF(#REF!="I", 7, 7*Q56), IF(#REF!="AIE", IF(#REF!="I", 5, 5*Q56)))))</f>
        <v>#REF!</v>
      </c>
      <c r="T56" s="14"/>
      <c r="U56" s="14"/>
      <c r="V56" s="14"/>
    </row>
    <row r="57" spans="1:22" ht="18" customHeight="1" x14ac:dyDescent="0.25">
      <c r="A57" s="13"/>
      <c r="B57" s="14"/>
      <c r="C57" s="14"/>
      <c r="D57" s="14"/>
      <c r="E57" s="14"/>
      <c r="F57" s="15"/>
      <c r="G57" s="16"/>
      <c r="H57" s="16"/>
      <c r="I57" s="16"/>
      <c r="J57" s="16"/>
      <c r="K57" s="16" t="str">
        <f t="shared" si="10"/>
        <v/>
      </c>
      <c r="L57" s="17" t="str">
        <f t="shared" si="11"/>
        <v/>
      </c>
      <c r="M57" s="18" t="str">
        <f t="shared" si="12"/>
        <v/>
      </c>
      <c r="N57" s="19" t="str">
        <f t="shared" si="13"/>
        <v/>
      </c>
      <c r="O57" s="20" t="str">
        <f>IF(H57="I",N57*Contagem!$U$11,IF(H57="E",N57*Contagem!$U$13,IF(H57="A",N57*Contagem!$U$12,IF(H57="T",N57*Contagem!$U$14,""))))</f>
        <v/>
      </c>
      <c r="P57" s="16"/>
      <c r="Q57" s="83" t="e">
        <f>IF(#REF!="I", Sumário!$F$55, IF(#REF!="A", Sumário!$F$56, Sumário!$F$57))</f>
        <v>#REF!</v>
      </c>
      <c r="R57" s="83" t="e">
        <f>IF(#REF!="ALI",35*Q57,IF(#REF!="AIE",15*Q57))</f>
        <v>#REF!</v>
      </c>
      <c r="S57" s="14" t="e">
        <f>IF(OR(#REF!="EE",#REF!="CE"),IF(#REF!="I",4,(4*Q57)),IF(#REF!="SE",IF(#REF!="I",5, 5*Q57),IF(#REF!="ALI", IF(#REF!="I", 7, 7*Q57), IF(#REF!="AIE", IF(#REF!="I", 5, 5*Q57)))))</f>
        <v>#REF!</v>
      </c>
      <c r="T57" s="14"/>
      <c r="U57" s="14"/>
      <c r="V57" s="14"/>
    </row>
    <row r="58" spans="1:22" ht="18" customHeight="1" x14ac:dyDescent="0.25">
      <c r="A58" s="13"/>
      <c r="B58" s="14"/>
      <c r="C58" s="14"/>
      <c r="D58" s="14"/>
      <c r="E58" s="14"/>
      <c r="F58" s="15"/>
      <c r="G58" s="16"/>
      <c r="H58" s="16"/>
      <c r="I58" s="16"/>
      <c r="J58" s="16"/>
      <c r="K58" s="16" t="str">
        <f t="shared" si="10"/>
        <v/>
      </c>
      <c r="L58" s="17" t="str">
        <f t="shared" si="11"/>
        <v/>
      </c>
      <c r="M58" s="18" t="str">
        <f t="shared" si="12"/>
        <v/>
      </c>
      <c r="N58" s="19" t="str">
        <f t="shared" si="13"/>
        <v/>
      </c>
      <c r="O58" s="20" t="str">
        <f>IF(H58="I",N58*Contagem!$U$11,IF(H58="E",N58*Contagem!$U$13,IF(H58="A",N58*Contagem!$U$12,IF(H58="T",N58*Contagem!$U$14,""))))</f>
        <v/>
      </c>
      <c r="P58" s="16"/>
      <c r="Q58" s="83" t="e">
        <f>IF(#REF!="I", Sumário!$F$55, IF(#REF!="A", Sumário!$F$56, Sumário!$F$57))</f>
        <v>#REF!</v>
      </c>
      <c r="R58" s="83" t="e">
        <f>IF(#REF!="ALI",35*Q58,IF(#REF!="AIE",15*Q58))</f>
        <v>#REF!</v>
      </c>
      <c r="S58" s="14" t="e">
        <f>IF(OR(#REF!="EE",#REF!="CE"),IF(#REF!="I",4,(4*Q58)),IF(#REF!="SE",IF(#REF!="I",5, 5*Q58),IF(#REF!="ALI", IF(#REF!="I", 7, 7*Q58), IF(#REF!="AIE", IF(#REF!="I", 5, 5*Q58)))))</f>
        <v>#REF!</v>
      </c>
      <c r="T58" s="14"/>
      <c r="U58" s="14"/>
      <c r="V58" s="14"/>
    </row>
    <row r="59" spans="1:22" ht="18" customHeight="1" x14ac:dyDescent="0.25">
      <c r="P59" s="16"/>
      <c r="Q59" s="83" t="e">
        <f>IF(#REF!="I", Sumário!$F$55, IF(#REF!="A", Sumário!$F$56, Sumário!$F$57))</f>
        <v>#REF!</v>
      </c>
      <c r="R59" s="83" t="e">
        <f>IF(#REF!="ALI",35*Q59,IF(#REF!="AIE",15*Q59))</f>
        <v>#REF!</v>
      </c>
      <c r="S59" s="14" t="e">
        <f>IF(OR(#REF!="EE",#REF!="CE"),IF(#REF!="I",4,(4*Q59)),IF(#REF!="SE",IF(#REF!="I",5, 5*Q59),IF(#REF!="ALI", IF(#REF!="I", 7, 7*Q59), IF(#REF!="AIE", IF(#REF!="I", 5, 5*Q59)))))</f>
        <v>#REF!</v>
      </c>
      <c r="T59" s="14"/>
      <c r="U59" s="14"/>
      <c r="V59" s="14"/>
    </row>
    <row r="60" spans="1:22" ht="18" customHeight="1" x14ac:dyDescent="0.25">
      <c r="P60" s="16"/>
      <c r="Q60" s="83" t="e">
        <f>IF(#REF!="I", Sumário!$F$55, IF(#REF!="A", Sumário!$F$56, Sumário!$F$57))</f>
        <v>#REF!</v>
      </c>
      <c r="R60" s="83" t="e">
        <f>IF(#REF!="ALI",35*Q60,IF(#REF!="AIE",15*Q60))</f>
        <v>#REF!</v>
      </c>
      <c r="S60" s="14" t="e">
        <f>IF(OR(#REF!="EE",#REF!="CE"),IF(#REF!="I",4,(4*Q60)),IF(#REF!="SE",IF(#REF!="I",5, 5*Q60),IF(#REF!="ALI", IF(#REF!="I", 7, 7*Q60), IF(#REF!="AIE", IF(#REF!="I", 5, 5*Q60)))))</f>
        <v>#REF!</v>
      </c>
      <c r="T60" s="14"/>
      <c r="U60" s="14"/>
      <c r="V60" s="14"/>
    </row>
    <row r="61" spans="1:22" ht="18" customHeight="1" x14ac:dyDescent="0.25">
      <c r="P61" s="16"/>
      <c r="Q61" s="83" t="e">
        <f>IF(#REF!="I", Sumário!$F$55, IF(#REF!="A", Sumário!$F$56, Sumário!$F$57))</f>
        <v>#REF!</v>
      </c>
      <c r="R61" s="83" t="e">
        <f>IF(#REF!="ALI",35*Q61,IF(#REF!="AIE",15*Q61))</f>
        <v>#REF!</v>
      </c>
      <c r="S61" s="14" t="e">
        <f>IF(OR(#REF!="EE",#REF!="CE"),IF(#REF!="I",4,(4*Q61)),IF(#REF!="SE",IF(#REF!="I",5, 5*Q61),IF(#REF!="ALI", IF(#REF!="I", 7, 7*Q61), IF(#REF!="AIE", IF(#REF!="I", 5, 5*Q61)))))</f>
        <v>#REF!</v>
      </c>
      <c r="T61" s="14"/>
      <c r="U61" s="14"/>
      <c r="V61" s="14"/>
    </row>
    <row r="62" spans="1:22" ht="18" customHeight="1" x14ac:dyDescent="0.25">
      <c r="P62" s="16"/>
      <c r="Q62" s="83" t="e">
        <f>IF(#REF!="I", Sumário!$F$55, IF(#REF!="A", Sumário!$F$56, Sumário!$F$57))</f>
        <v>#REF!</v>
      </c>
      <c r="R62" s="83" t="e">
        <f>IF(#REF!="ALI",35*Q62,IF(#REF!="AIE",15*Q62))</f>
        <v>#REF!</v>
      </c>
      <c r="S62" s="14" t="e">
        <f>IF(OR(#REF!="EE",#REF!="CE"),IF(#REF!="I",4,(4*Q62)),IF(#REF!="SE",IF(#REF!="I",5, 5*Q62),IF(#REF!="ALI", IF(#REF!="I", 7, 7*Q62), IF(#REF!="AIE", IF(#REF!="I", 5, 5*Q62)))))</f>
        <v>#REF!</v>
      </c>
      <c r="T62" s="14"/>
      <c r="U62" s="14"/>
      <c r="V62" s="14"/>
    </row>
    <row r="63" spans="1:22" ht="18" customHeight="1" x14ac:dyDescent="0.25">
      <c r="P63" s="16"/>
      <c r="Q63" s="83" t="e">
        <f>IF(#REF!="I", Sumário!$F$55, IF(#REF!="A", Sumário!$F$56, Sumário!$F$57))</f>
        <v>#REF!</v>
      </c>
      <c r="R63" s="83" t="e">
        <f>IF(#REF!="ALI",35*Q63,IF(#REF!="AIE",15*Q63))</f>
        <v>#REF!</v>
      </c>
      <c r="S63" s="14" t="e">
        <f>IF(OR(#REF!="EE",#REF!="CE"),IF(#REF!="I",4,(4*Q63)),IF(#REF!="SE",IF(#REF!="I",5, 5*Q63),IF(#REF!="ALI", IF(#REF!="I", 7, 7*Q63), IF(#REF!="AIE", IF(#REF!="I", 5, 5*Q63)))))</f>
        <v>#REF!</v>
      </c>
      <c r="T63" s="14"/>
      <c r="U63" s="14"/>
      <c r="V63" s="14"/>
    </row>
    <row r="64" spans="1:22" ht="18" customHeight="1" x14ac:dyDescent="0.25">
      <c r="P64" s="16"/>
      <c r="Q64" s="83" t="e">
        <f>IF(#REF!="I", Sumário!$F$55, IF(#REF!="A", Sumário!$F$56, Sumário!$F$57))</f>
        <v>#REF!</v>
      </c>
      <c r="R64" s="83" t="e">
        <f>IF(#REF!="ALI",35*Q64,IF(#REF!="AIE",15*Q64))</f>
        <v>#REF!</v>
      </c>
      <c r="S64" s="14" t="e">
        <f>IF(OR(#REF!="EE",#REF!="CE"),IF(#REF!="I",4,(4*Q64)),IF(#REF!="SE",IF(#REF!="I",5, 5*Q64),IF(#REF!="ALI", IF(#REF!="I", 7, 7*Q64), IF(#REF!="AIE", IF(#REF!="I", 5, 5*Q64)))))</f>
        <v>#REF!</v>
      </c>
      <c r="T64" s="14"/>
      <c r="U64" s="14"/>
      <c r="V64" s="14"/>
    </row>
    <row r="65" spans="16:22" ht="18" customHeight="1" x14ac:dyDescent="0.25">
      <c r="P65" s="16"/>
      <c r="Q65" s="83" t="e">
        <f>IF(#REF!="I", Sumário!$F$55, IF(#REF!="A", Sumário!$F$56, Sumário!$F$57))</f>
        <v>#REF!</v>
      </c>
      <c r="R65" s="83" t="e">
        <f>IF(#REF!="ALI",35*Q65,IF(#REF!="AIE",15*Q65))</f>
        <v>#REF!</v>
      </c>
      <c r="S65" s="14" t="e">
        <f>IF(OR(#REF!="EE",#REF!="CE"),IF(#REF!="I",4,(4*Q65)),IF(#REF!="SE",IF(#REF!="I",5, 5*Q65),IF(#REF!="ALI", IF(#REF!="I", 7, 7*Q65), IF(#REF!="AIE", IF(#REF!="I", 5, 5*Q65)))))</f>
        <v>#REF!</v>
      </c>
      <c r="T65" s="14"/>
      <c r="U65" s="14"/>
      <c r="V65" s="14"/>
    </row>
    <row r="66" spans="16:22" ht="18" customHeight="1" x14ac:dyDescent="0.25">
      <c r="P66" s="16"/>
      <c r="Q66" s="83" t="e">
        <f>IF(#REF!="I", Sumário!$F$55, IF(#REF!="A", Sumário!$F$56, Sumário!$F$57))</f>
        <v>#REF!</v>
      </c>
      <c r="R66" s="83" t="e">
        <f>IF(#REF!="ALI",35*Q66,IF(#REF!="AIE",15*Q66))</f>
        <v>#REF!</v>
      </c>
      <c r="S66" s="14" t="e">
        <f>IF(OR(#REF!="EE",#REF!="CE"),IF(#REF!="I",4,(4*Q66)),IF(#REF!="SE",IF(#REF!="I",5, 5*Q66),IF(#REF!="ALI", IF(#REF!="I", 7, 7*Q66), IF(#REF!="AIE", IF(#REF!="I", 5, 5*Q66)))))</f>
        <v>#REF!</v>
      </c>
      <c r="T66" s="14"/>
      <c r="U66" s="14"/>
      <c r="V66" s="14"/>
    </row>
    <row r="67" spans="16:22" ht="18" customHeight="1" x14ac:dyDescent="0.25">
      <c r="P67" s="16"/>
      <c r="Q67" s="83" t="e">
        <f>IF(#REF!="I", Sumário!$F$55, IF(#REF!="A", Sumário!$F$56, Sumário!$F$57))</f>
        <v>#REF!</v>
      </c>
      <c r="R67" s="83" t="e">
        <f>IF(#REF!="ALI",35*Q67,IF(#REF!="AIE",15*Q67))</f>
        <v>#REF!</v>
      </c>
      <c r="S67" s="14" t="e">
        <f>IF(OR(#REF!="EE",#REF!="CE"),IF(#REF!="I",4,(4*Q67)),IF(#REF!="SE",IF(#REF!="I",5, 5*Q67),IF(#REF!="ALI", IF(#REF!="I", 7, 7*Q67), IF(#REF!="AIE", IF(#REF!="I", 5, 5*Q67)))))</f>
        <v>#REF!</v>
      </c>
      <c r="T67" s="14"/>
      <c r="U67" s="14"/>
      <c r="V67" s="14"/>
    </row>
    <row r="68" spans="16:22" ht="18" customHeight="1" x14ac:dyDescent="0.25">
      <c r="P68" s="16"/>
      <c r="Q68" s="83" t="e">
        <f>IF(#REF!="I", Sumário!$F$55, IF(#REF!="A", Sumário!$F$56, Sumário!$F$57))</f>
        <v>#REF!</v>
      </c>
      <c r="R68" s="83" t="e">
        <f>IF(#REF!="ALI",35*Q68,IF(#REF!="AIE",15*Q68))</f>
        <v>#REF!</v>
      </c>
      <c r="S68" s="14" t="e">
        <f>IF(OR(#REF!="EE",#REF!="CE"),IF(#REF!="I",4,(4*Q68)),IF(#REF!="SE",IF(#REF!="I",5, 5*Q68),IF(#REF!="ALI", IF(#REF!="I", 7, 7*Q68), IF(#REF!="AIE", IF(#REF!="I", 5, 5*Q68)))))</f>
        <v>#REF!</v>
      </c>
      <c r="T68" s="14"/>
      <c r="U68" s="14"/>
      <c r="V68" s="14"/>
    </row>
    <row r="69" spans="16:22" ht="18" customHeight="1" x14ac:dyDescent="0.25">
      <c r="P69" s="16"/>
      <c r="Q69" s="83" t="e">
        <f>IF(#REF!="I", Sumário!$F$55, IF(#REF!="A", Sumário!$F$56, Sumário!$F$57))</f>
        <v>#REF!</v>
      </c>
      <c r="R69" s="83" t="e">
        <f>IF(#REF!="ALI",35*Q69,IF(#REF!="AIE",15*Q69))</f>
        <v>#REF!</v>
      </c>
      <c r="S69" s="14" t="e">
        <f>IF(OR(#REF!="EE",#REF!="CE"),IF(#REF!="I",4,(4*Q69)),IF(#REF!="SE",IF(#REF!="I",5, 5*Q69),IF(#REF!="ALI", IF(#REF!="I", 7, 7*Q69), IF(#REF!="AIE", IF(#REF!="I", 5, 5*Q69)))))</f>
        <v>#REF!</v>
      </c>
      <c r="T69" s="14"/>
      <c r="U69" s="14"/>
      <c r="V69" s="14"/>
    </row>
    <row r="70" spans="16:22" ht="18" customHeight="1" x14ac:dyDescent="0.25">
      <c r="P70" s="16"/>
      <c r="Q70" s="83" t="e">
        <f>IF(#REF!="I", Sumário!$F$55, IF(#REF!="A", Sumário!$F$56, Sumário!$F$57))</f>
        <v>#REF!</v>
      </c>
      <c r="R70" s="83" t="e">
        <f>IF(#REF!="ALI",35*Q70,IF(#REF!="AIE",15*Q70))</f>
        <v>#REF!</v>
      </c>
      <c r="S70" s="14" t="e">
        <f>IF(OR(#REF!="EE",#REF!="CE"),IF(#REF!="I",4,(4*Q70)),IF(#REF!="SE",IF(#REF!="I",5, 5*Q70),IF(#REF!="ALI", IF(#REF!="I", 7, 7*Q70), IF(#REF!="AIE", IF(#REF!="I", 5, 5*Q70)))))</f>
        <v>#REF!</v>
      </c>
      <c r="T70" s="14"/>
      <c r="U70" s="14"/>
      <c r="V70" s="14"/>
    </row>
    <row r="71" spans="16:22" ht="18" customHeight="1" x14ac:dyDescent="0.25">
      <c r="P71" s="16"/>
      <c r="Q71" s="83" t="e">
        <f>IF(#REF!="I", Sumário!$F$55, IF(#REF!="A", Sumário!$F$56, Sumário!$F$57))</f>
        <v>#REF!</v>
      </c>
      <c r="R71" s="83" t="e">
        <f>IF(#REF!="ALI",35*Q71,IF(#REF!="AIE",15*Q71))</f>
        <v>#REF!</v>
      </c>
      <c r="S71" s="14" t="e">
        <f>IF(OR(#REF!="EE",#REF!="CE"),IF(#REF!="I",4,(4*Q71)),IF(#REF!="SE",IF(#REF!="I",5, 5*Q71),IF(#REF!="ALI", IF(#REF!="I", 7, 7*Q71), IF(#REF!="AIE", IF(#REF!="I", 5, 5*Q71)))))</f>
        <v>#REF!</v>
      </c>
      <c r="T71" s="14"/>
      <c r="U71" s="14"/>
      <c r="V71" s="14"/>
    </row>
    <row r="72" spans="16:22" ht="18" customHeight="1" x14ac:dyDescent="0.25">
      <c r="P72" s="16"/>
      <c r="Q72" s="83" t="e">
        <f>IF(#REF!="I", Sumário!$F$55, IF(#REF!="A", Sumário!$F$56, Sumário!$F$57))</f>
        <v>#REF!</v>
      </c>
      <c r="R72" s="83" t="e">
        <f>IF(#REF!="ALI",35*Q72,IF(#REF!="AIE",15*Q72))</f>
        <v>#REF!</v>
      </c>
      <c r="S72" s="14" t="e">
        <f>IF(OR(#REF!="EE",#REF!="CE"),IF(#REF!="I",4,(4*Q72)),IF(#REF!="SE",IF(#REF!="I",5, 5*Q72),IF(#REF!="ALI", IF(#REF!="I", 7, 7*Q72), IF(#REF!="AIE", IF(#REF!="I", 5, 5*Q72)))))</f>
        <v>#REF!</v>
      </c>
      <c r="T72" s="14"/>
      <c r="U72" s="14"/>
      <c r="V72" s="14"/>
    </row>
    <row r="73" spans="16:22" ht="18" customHeight="1" x14ac:dyDescent="0.25">
      <c r="P73" s="16"/>
      <c r="Q73" s="83" t="e">
        <f>IF(#REF!="I", Sumário!$F$55, IF(#REF!="A", Sumário!$F$56, Sumário!$F$57))</f>
        <v>#REF!</v>
      </c>
      <c r="R73" s="83" t="e">
        <f>IF(#REF!="ALI",35*Q73,IF(#REF!="AIE",15*Q73))</f>
        <v>#REF!</v>
      </c>
      <c r="S73" s="14" t="e">
        <f>IF(OR(#REF!="EE",#REF!="CE"),IF(#REF!="I",4,(4*Q73)),IF(#REF!="SE",IF(#REF!="I",5, 5*Q73),IF(#REF!="ALI", IF(#REF!="I", 7, 7*Q73), IF(#REF!="AIE", IF(#REF!="I", 5, 5*Q73)))))</f>
        <v>#REF!</v>
      </c>
      <c r="T73" s="14"/>
      <c r="U73" s="14"/>
      <c r="V73" s="14"/>
    </row>
    <row r="74" spans="16:22" ht="18" customHeight="1" x14ac:dyDescent="0.25">
      <c r="P74" s="16"/>
      <c r="Q74" s="83" t="e">
        <f>IF(#REF!="I", Sumário!$F$55, IF(#REF!="A", Sumário!$F$56, Sumário!$F$57))</f>
        <v>#REF!</v>
      </c>
      <c r="R74" s="83" t="e">
        <f>IF(#REF!="ALI",35*Q74,IF(#REF!="AIE",15*Q74))</f>
        <v>#REF!</v>
      </c>
      <c r="S74" s="14" t="e">
        <f>IF(OR(#REF!="EE",#REF!="CE"),IF(#REF!="I",4,(4*Q74)),IF(#REF!="SE",IF(#REF!="I",5, 5*Q74),IF(#REF!="ALI", IF(#REF!="I", 7, 7*Q74), IF(#REF!="AIE", IF(#REF!="I", 5, 5*Q74)))))</f>
        <v>#REF!</v>
      </c>
      <c r="T74" s="14"/>
      <c r="U74" s="14"/>
      <c r="V74" s="14"/>
    </row>
    <row r="75" spans="16:22" ht="18" customHeight="1" x14ac:dyDescent="0.25">
      <c r="P75" s="16"/>
      <c r="Q75" s="83" t="e">
        <f>IF(#REF!="I", Sumário!$F$55, IF(#REF!="A", Sumário!$F$56, Sumário!$F$57))</f>
        <v>#REF!</v>
      </c>
      <c r="R75" s="83" t="e">
        <f>IF(#REF!="ALI",35*Q75,IF(#REF!="AIE",15*Q75))</f>
        <v>#REF!</v>
      </c>
      <c r="S75" s="14" t="e">
        <f>IF(OR(#REF!="EE",#REF!="CE"),IF(#REF!="I",4,(4*Q75)),IF(#REF!="SE",IF(#REF!="I",5, 5*Q75),IF(#REF!="ALI", IF(#REF!="I", 7, 7*Q75), IF(#REF!="AIE", IF(#REF!="I", 5, 5*Q75)))))</f>
        <v>#REF!</v>
      </c>
      <c r="T75" s="14"/>
      <c r="U75" s="14"/>
      <c r="V75" s="14"/>
    </row>
    <row r="76" spans="16:22" ht="18" customHeight="1" x14ac:dyDescent="0.25">
      <c r="P76" s="16"/>
      <c r="Q76" s="83" t="e">
        <f>IF(#REF!="I", Sumário!$F$55, IF(#REF!="A", Sumário!$F$56, Sumário!$F$57))</f>
        <v>#REF!</v>
      </c>
      <c r="R76" s="83" t="e">
        <f>IF(#REF!="ALI",35*Q76,IF(#REF!="AIE",15*Q76))</f>
        <v>#REF!</v>
      </c>
      <c r="S76" s="14" t="e">
        <f>IF(OR(#REF!="EE",#REF!="CE"),IF(#REF!="I",4,(4*Q76)),IF(#REF!="SE",IF(#REF!="I",5, 5*Q76),IF(#REF!="ALI", IF(#REF!="I", 7, 7*Q76), IF(#REF!="AIE", IF(#REF!="I", 5, 5*Q76)))))</f>
        <v>#REF!</v>
      </c>
      <c r="T76" s="14"/>
      <c r="U76" s="14"/>
      <c r="V76" s="14"/>
    </row>
    <row r="77" spans="16:22" ht="18" customHeight="1" x14ac:dyDescent="0.25">
      <c r="P77" s="16"/>
      <c r="Q77" s="83" t="e">
        <f>IF(#REF!="I", Sumário!$F$55, IF(#REF!="A", Sumário!$F$56, Sumário!$F$57))</f>
        <v>#REF!</v>
      </c>
      <c r="R77" s="83" t="e">
        <f>IF(#REF!="ALI",35*Q77,IF(#REF!="AIE",15*Q77))</f>
        <v>#REF!</v>
      </c>
      <c r="S77" s="14" t="e">
        <f>IF(OR(#REF!="EE",#REF!="CE"),IF(#REF!="I",4,(4*Q77)),IF(#REF!="SE",IF(#REF!="I",5, 5*Q77),IF(#REF!="ALI", IF(#REF!="I", 7, 7*Q77), IF(#REF!="AIE", IF(#REF!="I", 5, 5*Q77)))))</f>
        <v>#REF!</v>
      </c>
      <c r="T77" s="14"/>
      <c r="U77" s="14"/>
      <c r="V77" s="14"/>
    </row>
    <row r="78" spans="16:22" ht="18" customHeight="1" x14ac:dyDescent="0.25">
      <c r="P78" s="16"/>
      <c r="Q78" s="83" t="e">
        <f>IF(#REF!="I", Sumário!$F$55, IF(#REF!="A", Sumário!$F$56, Sumário!$F$57))</f>
        <v>#REF!</v>
      </c>
      <c r="R78" s="83" t="e">
        <f>IF(#REF!="ALI",35*Q78,IF(#REF!="AIE",15*Q78))</f>
        <v>#REF!</v>
      </c>
      <c r="S78" s="14" t="e">
        <f>IF(OR(#REF!="EE",#REF!="CE"),IF(#REF!="I",4,(4*Q78)),IF(#REF!="SE",IF(#REF!="I",5, 5*Q78),IF(#REF!="ALI", IF(#REF!="I", 7, 7*Q78), IF(#REF!="AIE", IF(#REF!="I", 5, 5*Q78)))))</f>
        <v>#REF!</v>
      </c>
      <c r="T78" s="14"/>
      <c r="U78" s="14"/>
      <c r="V78" s="14"/>
    </row>
    <row r="79" spans="16:22" ht="18" customHeight="1" x14ac:dyDescent="0.25">
      <c r="P79" s="16"/>
      <c r="Q79" s="83">
        <f>IF(H28="I", Sumário!$F$55, IF(H28="A", Sumário!$F$56, Sumário!$F$57))</f>
        <v>1</v>
      </c>
      <c r="R79" s="83">
        <f>IF(G28="ALI",35*Q79,IF(G28="AIE",15*Q79))</f>
        <v>35</v>
      </c>
      <c r="S79" s="14">
        <f>IF(OR(G28="EE",G28="CE"),IF(H28="I",4,(4*Q79)),IF(G28="SE",IF(H28="I",5, 5*Q79),IF(G28="ALI", IF(H28="I", 7, 7*Q79), IF(G28="AIE", IF(H28="I", 5, 5*Q79)))))</f>
        <v>7</v>
      </c>
      <c r="T79" s="14"/>
      <c r="U79" s="14"/>
      <c r="V79" s="14"/>
    </row>
    <row r="80" spans="16:22" ht="18" customHeight="1" x14ac:dyDescent="0.25">
      <c r="P80" s="16"/>
      <c r="Q80" s="83">
        <f>IF(H29="I", Sumário!$F$55, IF(H29="A", Sumário!$F$56, Sumário!$F$57))</f>
        <v>1</v>
      </c>
      <c r="R80" s="83">
        <f>IF(G29="ALI",35*Q80,IF(G29="AIE",15*Q80))</f>
        <v>35</v>
      </c>
      <c r="S80" s="14">
        <f>IF(OR(G29="EE",G29="CE"),IF(H29="I",4,(4*Q80)),IF(G29="SE",IF(H29="I",5, 5*Q80),IF(G29="ALI", IF(H29="I", 7, 7*Q80), IF(G29="AIE", IF(H29="I", 5, 5*Q80)))))</f>
        <v>7</v>
      </c>
      <c r="T80" s="14"/>
      <c r="U80" s="14"/>
      <c r="V80" s="14"/>
    </row>
    <row r="81" spans="16:22" ht="18" customHeight="1" x14ac:dyDescent="0.25">
      <c r="P81" s="16"/>
      <c r="Q81" s="83">
        <f>IF(H30="I", Sumário!$F$55, IF(H30="A", Sumário!$F$56, Sumário!$F$57))</f>
        <v>1</v>
      </c>
      <c r="R81" s="83">
        <f>IF(G30="ALI",35*Q81,IF(G30="AIE",15*Q81))</f>
        <v>35</v>
      </c>
      <c r="S81" s="14">
        <f>IF(OR(G30="EE",G30="CE"),IF(H30="I",4,(4*Q81)),IF(G30="SE",IF(H30="I",5, 5*Q81),IF(G30="ALI", IF(H30="I", 7, 7*Q81), IF(G30="AIE", IF(H30="I", 5, 5*Q81)))))</f>
        <v>7</v>
      </c>
      <c r="T81" s="14"/>
      <c r="U81" s="14"/>
      <c r="V81" s="14"/>
    </row>
    <row r="82" spans="16:22" ht="18" customHeight="1" x14ac:dyDescent="0.25">
      <c r="P82" s="16"/>
      <c r="Q82" s="83">
        <f>IF(H31="I", Sumário!$F$55, IF(H31="A", Sumário!$F$56, Sumário!$F$57))</f>
        <v>0.4</v>
      </c>
      <c r="R82" s="83" t="b">
        <f>IF(G31="ALI",35*Q82,IF(G31="AIE",15*Q82))</f>
        <v>0</v>
      </c>
      <c r="S82" s="14" t="b">
        <f>IF(OR(G31="EE",G31="CE"),IF(H31="I",4,(4*Q82)),IF(G31="SE",IF(H31="I",5, 5*Q82),IF(G31="ALI", IF(H31="I", 7, 7*Q82), IF(G31="AIE", IF(H31="I", 5, 5*Q82)))))</f>
        <v>0</v>
      </c>
      <c r="T82" s="14"/>
      <c r="U82" s="14"/>
      <c r="V82" s="14"/>
    </row>
    <row r="83" spans="16:22" ht="18" customHeight="1" x14ac:dyDescent="0.25">
      <c r="P83" s="16"/>
      <c r="Q83" s="83">
        <f>IF(H32="I", Sumário!$F$55, IF(H32="A", Sumário!$F$56, Sumário!$F$57))</f>
        <v>0.4</v>
      </c>
      <c r="R83" s="83" t="b">
        <f>IF(G32="ALI",35*Q83,IF(G32="AIE",15*Q83))</f>
        <v>0</v>
      </c>
      <c r="S83" s="14" t="b">
        <f>IF(OR(G32="EE",G32="CE"),IF(H32="I",4,(4*Q83)),IF(G32="SE",IF(H32="I",5, 5*Q83),IF(G32="ALI", IF(H32="I", 7, 7*Q83), IF(G32="AIE", IF(H32="I", 5, 5*Q83)))))</f>
        <v>0</v>
      </c>
      <c r="T83" s="14"/>
      <c r="U83" s="14"/>
      <c r="V83" s="14"/>
    </row>
    <row r="84" spans="16:22" ht="18" customHeight="1" x14ac:dyDescent="0.25">
      <c r="P84" s="16"/>
      <c r="Q84" s="83">
        <f>IF(H33="I", Sumário!$F$55, IF(H33="A", Sumário!$F$56, Sumário!$F$57))</f>
        <v>0.4</v>
      </c>
      <c r="R84" s="83" t="b">
        <f>IF(G33="ALI",35*Q84,IF(G33="AIE",15*Q84))</f>
        <v>0</v>
      </c>
      <c r="S84" s="14" t="b">
        <f>IF(OR(G33="EE",G33="CE"),IF(H33="I",4,(4*Q84)),IF(G33="SE",IF(H33="I",5, 5*Q84),IF(G33="ALI", IF(H33="I", 7, 7*Q84), IF(G33="AIE", IF(H33="I", 5, 5*Q84)))))</f>
        <v>0</v>
      </c>
      <c r="T84" s="14"/>
      <c r="U84" s="14"/>
      <c r="V84" s="14"/>
    </row>
    <row r="85" spans="16:22" ht="18" customHeight="1" x14ac:dyDescent="0.25">
      <c r="P85" s="16"/>
      <c r="Q85" s="83">
        <f>IF(H34="I", Sumário!$F$55, IF(H34="A", Sumário!$F$56, Sumário!$F$57))</f>
        <v>0.4</v>
      </c>
      <c r="R85" s="83" t="b">
        <f>IF(G34="ALI",35*Q85,IF(G34="AIE",15*Q85))</f>
        <v>0</v>
      </c>
      <c r="S85" s="14" t="b">
        <f>IF(OR(G34="EE",G34="CE"),IF(H34="I",4,(4*Q85)),IF(G34="SE",IF(H34="I",5, 5*Q85),IF(G34="ALI", IF(H34="I", 7, 7*Q85), IF(G34="AIE", IF(H34="I", 5, 5*Q85)))))</f>
        <v>0</v>
      </c>
      <c r="T85" s="14"/>
      <c r="U85" s="14"/>
      <c r="V85" s="14"/>
    </row>
    <row r="86" spans="16:22" ht="18" customHeight="1" x14ac:dyDescent="0.25">
      <c r="P86" s="16"/>
      <c r="Q86" s="83">
        <f>IF(H35="I", Sumário!$F$55, IF(H35="A", Sumário!$F$56, Sumário!$F$57))</f>
        <v>0.4</v>
      </c>
      <c r="R86" s="83" t="b">
        <f>IF(G35="ALI",35*Q86,IF(G35="AIE",15*Q86))</f>
        <v>0</v>
      </c>
      <c r="S86" s="14" t="b">
        <f>IF(OR(G35="EE",G35="CE"),IF(H35="I",4,(4*Q86)),IF(G35="SE",IF(H35="I",5, 5*Q86),IF(G35="ALI", IF(H35="I", 7, 7*Q86), IF(G35="AIE", IF(H35="I", 5, 5*Q86)))))</f>
        <v>0</v>
      </c>
      <c r="T86" s="14"/>
      <c r="U86" s="14"/>
      <c r="V86" s="14"/>
    </row>
    <row r="87" spans="16:22" ht="18" customHeight="1" x14ac:dyDescent="0.25">
      <c r="P87" s="16"/>
      <c r="Q87" s="83">
        <f>IF(H36="I", Sumário!$F$55, IF(H36="A", Sumário!$F$56, Sumário!$F$57))</f>
        <v>0.4</v>
      </c>
      <c r="R87" s="83" t="b">
        <f>IF(G36="ALI",35*Q87,IF(G36="AIE",15*Q87))</f>
        <v>0</v>
      </c>
      <c r="S87" s="14" t="b">
        <f>IF(OR(G36="EE",G36="CE"),IF(H36="I",4,(4*Q87)),IF(G36="SE",IF(H36="I",5, 5*Q87),IF(G36="ALI", IF(H36="I", 7, 7*Q87), IF(G36="AIE", IF(H36="I", 5, 5*Q87)))))</f>
        <v>0</v>
      </c>
      <c r="T87" s="14"/>
      <c r="U87" s="14"/>
      <c r="V87" s="14"/>
    </row>
    <row r="88" spans="16:22" ht="18" customHeight="1" x14ac:dyDescent="0.25">
      <c r="P88" s="16"/>
      <c r="Q88" s="83">
        <f>IF(H37="I", Sumário!$F$55, IF(H37="A", Sumário!$F$56, Sumário!$F$57))</f>
        <v>0.4</v>
      </c>
      <c r="R88" s="83" t="b">
        <f>IF(G37="ALI",35*Q88,IF(G37="AIE",15*Q88))</f>
        <v>0</v>
      </c>
      <c r="S88" s="14" t="b">
        <f>IF(OR(G37="EE",G37="CE"),IF(H37="I",4,(4*Q88)),IF(G37="SE",IF(H37="I",5, 5*Q88),IF(G37="ALI", IF(H37="I", 7, 7*Q88), IF(G37="AIE", IF(H37="I", 5, 5*Q88)))))</f>
        <v>0</v>
      </c>
      <c r="T88" s="14"/>
      <c r="U88" s="14"/>
      <c r="V88" s="14"/>
    </row>
    <row r="89" spans="16:22" ht="18" customHeight="1" x14ac:dyDescent="0.25">
      <c r="P89" s="16"/>
      <c r="Q89" s="83">
        <f>IF(H38="I", Sumário!$F$55, IF(H38="A", Sumário!$F$56, Sumário!$F$57))</f>
        <v>0.4</v>
      </c>
      <c r="R89" s="83" t="b">
        <f>IF(G38="ALI",35*Q89,IF(G38="AIE",15*Q89))</f>
        <v>0</v>
      </c>
      <c r="S89" s="14" t="b">
        <f>IF(OR(G38="EE",G38="CE"),IF(H38="I",4,(4*Q89)),IF(G38="SE",IF(H38="I",5, 5*Q89),IF(G38="ALI", IF(H38="I", 7, 7*Q89), IF(G38="AIE", IF(H38="I", 5, 5*Q89)))))</f>
        <v>0</v>
      </c>
      <c r="T89" s="14"/>
      <c r="U89" s="14"/>
      <c r="V89" s="14"/>
    </row>
    <row r="90" spans="16:22" ht="18" customHeight="1" x14ac:dyDescent="0.25">
      <c r="P90" s="16"/>
      <c r="Q90" s="83">
        <f>IF(H39="I", Sumário!$F$55, IF(H39="A", Sumário!$F$56, Sumário!$F$57))</f>
        <v>0.4</v>
      </c>
      <c r="R90" s="83" t="b">
        <f>IF(G39="ALI",35*Q90,IF(G39="AIE",15*Q90))</f>
        <v>0</v>
      </c>
      <c r="S90" s="14" t="b">
        <f>IF(OR(G39="EE",G39="CE"),IF(H39="I",4,(4*Q90)),IF(G39="SE",IF(H39="I",5, 5*Q90),IF(G39="ALI", IF(H39="I", 7, 7*Q90), IF(G39="AIE", IF(H39="I", 5, 5*Q90)))))</f>
        <v>0</v>
      </c>
      <c r="T90" s="14"/>
      <c r="U90" s="14"/>
      <c r="V90" s="14"/>
    </row>
    <row r="91" spans="16:22" ht="18" customHeight="1" x14ac:dyDescent="0.25">
      <c r="P91" s="16"/>
      <c r="Q91" s="83">
        <f>IF(H40="I", Sumário!$F$55, IF(H40="A", Sumário!$F$56, Sumário!$F$57))</f>
        <v>0.4</v>
      </c>
      <c r="R91" s="83" t="b">
        <f>IF(G40="ALI",35*Q91,IF(G40="AIE",15*Q91))</f>
        <v>0</v>
      </c>
      <c r="S91" s="14" t="b">
        <f>IF(OR(G40="EE",G40="CE"),IF(H40="I",4,(4*Q91)),IF(G40="SE",IF(H40="I",5, 5*Q91),IF(G40="ALI", IF(H40="I", 7, 7*Q91), IF(G40="AIE", IF(H40="I", 5, 5*Q91)))))</f>
        <v>0</v>
      </c>
      <c r="T91" s="14"/>
      <c r="U91" s="14"/>
      <c r="V91" s="14"/>
    </row>
    <row r="92" spans="16:22" ht="18" customHeight="1" x14ac:dyDescent="0.25">
      <c r="P92" s="16"/>
      <c r="Q92" s="83">
        <f>IF(H41="I", Sumário!$F$55, IF(H41="A", Sumário!$F$56, Sumário!$F$57))</f>
        <v>0.4</v>
      </c>
      <c r="R92" s="83" t="b">
        <f>IF(G41="ALI",35*Q92,IF(G41="AIE",15*Q92))</f>
        <v>0</v>
      </c>
      <c r="S92" s="14" t="b">
        <f>IF(OR(G41="EE",G41="CE"),IF(H41="I",4,(4*Q92)),IF(G41="SE",IF(H41="I",5, 5*Q92),IF(G41="ALI", IF(H41="I", 7, 7*Q92), IF(G41="AIE", IF(H41="I", 5, 5*Q92)))))</f>
        <v>0</v>
      </c>
      <c r="T92" s="14"/>
      <c r="U92" s="14"/>
      <c r="V92" s="14"/>
    </row>
    <row r="93" spans="16:22" ht="18" customHeight="1" x14ac:dyDescent="0.25">
      <c r="P93" s="16"/>
      <c r="Q93" s="83">
        <f>IF(H42="I", Sumário!$F$55, IF(H42="A", Sumário!$F$56, Sumário!$F$57))</f>
        <v>0.4</v>
      </c>
      <c r="R93" s="83" t="b">
        <f>IF(G42="ALI",35*Q93,IF(G42="AIE",15*Q93))</f>
        <v>0</v>
      </c>
      <c r="S93" s="14" t="b">
        <f>IF(OR(G42="EE",G42="CE"),IF(H42="I",4,(4*Q93)),IF(G42="SE",IF(H42="I",5, 5*Q93),IF(G42="ALI", IF(H42="I", 7, 7*Q93), IF(G42="AIE", IF(H42="I", 5, 5*Q93)))))</f>
        <v>0</v>
      </c>
      <c r="T93" s="14"/>
      <c r="U93" s="14"/>
      <c r="V93" s="14"/>
    </row>
    <row r="94" spans="16:22" ht="18" customHeight="1" x14ac:dyDescent="0.25">
      <c r="P94" s="16"/>
      <c r="Q94" s="83">
        <f>IF(H43="I", Sumário!$F$55, IF(H43="A", Sumário!$F$56, Sumário!$F$57))</f>
        <v>0.4</v>
      </c>
      <c r="R94" s="83" t="b">
        <f>IF(G43="ALI",35*Q94,IF(G43="AIE",15*Q94))</f>
        <v>0</v>
      </c>
      <c r="S94" s="14" t="b">
        <f>IF(OR(G43="EE",G43="CE"),IF(H43="I",4,(4*Q94)),IF(G43="SE",IF(H43="I",5, 5*Q94),IF(G43="ALI", IF(H43="I", 7, 7*Q94), IF(G43="AIE", IF(H43="I", 5, 5*Q94)))))</f>
        <v>0</v>
      </c>
      <c r="T94" s="14"/>
      <c r="U94" s="14"/>
      <c r="V94" s="14"/>
    </row>
    <row r="95" spans="16:22" ht="18" customHeight="1" x14ac:dyDescent="0.25">
      <c r="P95" s="16"/>
      <c r="Q95" s="83">
        <f>IF(H44="I", Sumário!$F$55, IF(H44="A", Sumário!$F$56, Sumário!$F$57))</f>
        <v>0.4</v>
      </c>
      <c r="R95" s="83" t="b">
        <f>IF(G44="ALI",35*Q95,IF(G44="AIE",15*Q95))</f>
        <v>0</v>
      </c>
      <c r="S95" s="14" t="b">
        <f>IF(OR(G44="EE",G44="CE"),IF(H44="I",4,(4*Q95)),IF(G44="SE",IF(H44="I",5, 5*Q95),IF(G44="ALI", IF(H44="I", 7, 7*Q95), IF(G44="AIE", IF(H44="I", 5, 5*Q95)))))</f>
        <v>0</v>
      </c>
      <c r="T95" s="14"/>
      <c r="U95" s="14"/>
      <c r="V95" s="14"/>
    </row>
    <row r="96" spans="16:22" ht="18" customHeight="1" x14ac:dyDescent="0.25">
      <c r="P96" s="16"/>
      <c r="Q96" s="83">
        <f>IF(H45="I", Sumário!$F$55, IF(H45="A", Sumário!$F$56, Sumário!$F$57))</f>
        <v>0.4</v>
      </c>
      <c r="R96" s="83" t="b">
        <f>IF(G45="ALI",35*Q96,IF(G45="AIE",15*Q96))</f>
        <v>0</v>
      </c>
      <c r="S96" s="14" t="b">
        <f>IF(OR(G45="EE",G45="CE"),IF(H45="I",4,(4*Q96)),IF(G45="SE",IF(H45="I",5, 5*Q96),IF(G45="ALI", IF(H45="I", 7, 7*Q96), IF(G45="AIE", IF(H45="I", 5, 5*Q96)))))</f>
        <v>0</v>
      </c>
      <c r="T96" s="14"/>
      <c r="U96" s="14"/>
      <c r="V96" s="14"/>
    </row>
    <row r="97" spans="16:22" ht="18" customHeight="1" x14ac:dyDescent="0.25">
      <c r="P97" s="16"/>
      <c r="Q97" s="83">
        <f>IF(H46="I", Sumário!$F$55, IF(H46="A", Sumário!$F$56, Sumário!$F$57))</f>
        <v>0.4</v>
      </c>
      <c r="R97" s="83" t="b">
        <f>IF(G46="ALI",35*Q97,IF(G46="AIE",15*Q97))</f>
        <v>0</v>
      </c>
      <c r="S97" s="14" t="b">
        <f>IF(OR(G46="EE",G46="CE"),IF(H46="I",4,(4*Q97)),IF(G46="SE",IF(H46="I",5, 5*Q97),IF(G46="ALI", IF(H46="I", 7, 7*Q97), IF(G46="AIE", IF(H46="I", 5, 5*Q97)))))</f>
        <v>0</v>
      </c>
      <c r="T97" s="14"/>
      <c r="U97" s="14"/>
      <c r="V97" s="14"/>
    </row>
    <row r="98" spans="16:22" ht="18" customHeight="1" x14ac:dyDescent="0.25">
      <c r="P98" s="16"/>
      <c r="Q98" s="83">
        <f>IF(H47="I", Sumário!$F$55, IF(H47="A", Sumário!$F$56, Sumário!$F$57))</f>
        <v>0.4</v>
      </c>
      <c r="R98" s="83" t="b">
        <f>IF(G47="ALI",35*Q98,IF(G47="AIE",15*Q98))</f>
        <v>0</v>
      </c>
      <c r="S98" s="14" t="b">
        <f>IF(OR(G47="EE",G47="CE"),IF(H47="I",4,(4*Q98)),IF(G47="SE",IF(H47="I",5, 5*Q98),IF(G47="ALI", IF(H47="I", 7, 7*Q98), IF(G47="AIE", IF(H47="I", 5, 5*Q98)))))</f>
        <v>0</v>
      </c>
      <c r="T98" s="14"/>
      <c r="U98" s="14"/>
      <c r="V98" s="14"/>
    </row>
    <row r="99" spans="16:22" ht="18" customHeight="1" x14ac:dyDescent="0.25">
      <c r="P99" s="16"/>
      <c r="Q99" s="83">
        <f>IF(H48="I", Sumário!$F$55, IF(H48="A", Sumário!$F$56, Sumário!$F$57))</f>
        <v>0.4</v>
      </c>
      <c r="R99" s="83" t="b">
        <f>IF(G48="ALI",35*Q99,IF(G48="AIE",15*Q99))</f>
        <v>0</v>
      </c>
      <c r="S99" s="14" t="b">
        <f>IF(OR(G48="EE",G48="CE"),IF(H48="I",4,(4*Q99)),IF(G48="SE",IF(H48="I",5, 5*Q99),IF(G48="ALI", IF(H48="I", 7, 7*Q99), IF(G48="AIE", IF(H48="I", 5, 5*Q99)))))</f>
        <v>0</v>
      </c>
      <c r="T99" s="14"/>
      <c r="U99" s="14"/>
      <c r="V99" s="14"/>
    </row>
    <row r="100" spans="16:22" ht="18" customHeight="1" x14ac:dyDescent="0.25">
      <c r="P100" s="16"/>
      <c r="Q100" s="83">
        <f>IF(H49="I", Sumário!$F$55, IF(H49="A", Sumário!$F$56, Sumário!$F$57))</f>
        <v>0.4</v>
      </c>
      <c r="R100" s="83" t="b">
        <f>IF(G49="ALI",35*Q100,IF(G49="AIE",15*Q100))</f>
        <v>0</v>
      </c>
      <c r="S100" s="14" t="b">
        <f>IF(OR(G49="EE",G49="CE"),IF(H49="I",4,(4*Q100)),IF(G49="SE",IF(H49="I",5, 5*Q100),IF(G49="ALI", IF(H49="I", 7, 7*Q100), IF(G49="AIE", IF(H49="I", 5, 5*Q100)))))</f>
        <v>0</v>
      </c>
      <c r="T100" s="14"/>
      <c r="U100" s="14"/>
      <c r="V100" s="14"/>
    </row>
    <row r="101" spans="16:22" ht="18" customHeight="1" x14ac:dyDescent="0.25">
      <c r="P101" s="16"/>
      <c r="Q101" s="83">
        <f>IF(H50="I", Sumário!$F$55, IF(H50="A", Sumário!$F$56, Sumário!$F$57))</f>
        <v>0.4</v>
      </c>
      <c r="R101" s="83" t="b">
        <f>IF(G50="ALI",35*Q101,IF(G50="AIE",15*Q101))</f>
        <v>0</v>
      </c>
      <c r="S101" s="14" t="b">
        <f>IF(OR(G50="EE",G50="CE"),IF(H50="I",4,(4*Q101)),IF(G50="SE",IF(H50="I",5, 5*Q101),IF(G50="ALI", IF(H50="I", 7, 7*Q101), IF(G50="AIE", IF(H50="I", 5, 5*Q101)))))</f>
        <v>0</v>
      </c>
      <c r="T101" s="14"/>
      <c r="U101" s="14"/>
      <c r="V101" s="14"/>
    </row>
    <row r="102" spans="16:22" ht="18" customHeight="1" x14ac:dyDescent="0.25">
      <c r="P102" s="16"/>
      <c r="Q102" s="83">
        <f>IF(H51="I", Sumário!$F$55, IF(H51="A", Sumário!$F$56, Sumário!$F$57))</f>
        <v>0.4</v>
      </c>
      <c r="R102" s="83" t="b">
        <f>IF(G51="ALI",35*Q102,IF(G51="AIE",15*Q102))</f>
        <v>0</v>
      </c>
      <c r="S102" s="14" t="b">
        <f>IF(OR(G51="EE",G51="CE"),IF(H51="I",4,(4*Q102)),IF(G51="SE",IF(H51="I",5, 5*Q102),IF(G51="ALI", IF(H51="I", 7, 7*Q102), IF(G51="AIE", IF(H51="I", 5, 5*Q102)))))</f>
        <v>0</v>
      </c>
      <c r="T102" s="14"/>
      <c r="U102" s="14"/>
      <c r="V102" s="14"/>
    </row>
    <row r="103" spans="16:22" ht="18" customHeight="1" x14ac:dyDescent="0.25">
      <c r="P103" s="16"/>
      <c r="Q103" s="83">
        <f>IF(H52="I", Sumário!$F$55, IF(H52="A", Sumário!$F$56, Sumário!$F$57))</f>
        <v>0.4</v>
      </c>
      <c r="R103" s="83" t="b">
        <f>IF(G52="ALI",35*Q103,IF(G52="AIE",15*Q103))</f>
        <v>0</v>
      </c>
      <c r="S103" s="14" t="b">
        <f>IF(OR(G52="EE",G52="CE"),IF(H52="I",4,(4*Q103)),IF(G52="SE",IF(H52="I",5, 5*Q103),IF(G52="ALI", IF(H52="I", 7, 7*Q103), IF(G52="AIE", IF(H52="I", 5, 5*Q103)))))</f>
        <v>0</v>
      </c>
      <c r="T103" s="14"/>
      <c r="U103" s="14"/>
      <c r="V103" s="14"/>
    </row>
    <row r="104" spans="16:22" ht="18" customHeight="1" x14ac:dyDescent="0.25">
      <c r="P104" s="16"/>
      <c r="Q104" s="83">
        <f>IF(H53="I", Sumário!$F$55, IF(H53="A", Sumário!$F$56, Sumário!$F$57))</f>
        <v>0.4</v>
      </c>
      <c r="R104" s="83" t="b">
        <f>IF(G53="ALI",35*Q104,IF(G53="AIE",15*Q104))</f>
        <v>0</v>
      </c>
      <c r="S104" s="14" t="b">
        <f>IF(OR(G53="EE",G53="CE"),IF(H53="I",4,(4*Q104)),IF(G53="SE",IF(H53="I",5, 5*Q104),IF(G53="ALI", IF(H53="I", 7, 7*Q104), IF(G53="AIE", IF(H53="I", 5, 5*Q104)))))</f>
        <v>0</v>
      </c>
      <c r="T104" s="14"/>
      <c r="U104" s="14"/>
      <c r="V104" s="14"/>
    </row>
    <row r="105" spans="16:22" ht="18" customHeight="1" x14ac:dyDescent="0.25">
      <c r="P105" s="16"/>
      <c r="Q105" s="83">
        <f>IF(H54="I", Sumário!$F$55, IF(H54="A", Sumário!$F$56, Sumário!$F$57))</f>
        <v>0.4</v>
      </c>
      <c r="R105" s="83" t="b">
        <f>IF(G54="ALI",35*Q105,IF(G54="AIE",15*Q105))</f>
        <v>0</v>
      </c>
      <c r="S105" s="14" t="b">
        <f>IF(OR(G54="EE",G54="CE"),IF(H54="I",4,(4*Q105)),IF(G54="SE",IF(H54="I",5, 5*Q105),IF(G54="ALI", IF(H54="I", 7, 7*Q105), IF(G54="AIE", IF(H54="I", 5, 5*Q105)))))</f>
        <v>0</v>
      </c>
      <c r="T105" s="14"/>
      <c r="U105" s="14"/>
      <c r="V105" s="14"/>
    </row>
    <row r="106" spans="16:22" ht="18" customHeight="1" x14ac:dyDescent="0.25">
      <c r="P106" s="16"/>
      <c r="Q106" s="83">
        <f>IF(H55="I", Sumário!$F$55, IF(H55="A", Sumário!$F$56, Sumário!$F$57))</f>
        <v>0.4</v>
      </c>
      <c r="R106" s="83" t="b">
        <f>IF(G55="ALI",35*Q106,IF(G55="AIE",15*Q106))</f>
        <v>0</v>
      </c>
      <c r="S106" s="14" t="b">
        <f>IF(OR(G55="EE",G55="CE"),IF(H55="I",4,(4*Q106)),IF(G55="SE",IF(H55="I",5, 5*Q106),IF(G55="ALI", IF(H55="I", 7, 7*Q106), IF(G55="AIE", IF(H55="I", 5, 5*Q106)))))</f>
        <v>0</v>
      </c>
      <c r="T106" s="14"/>
      <c r="U106" s="14"/>
      <c r="V106" s="14"/>
    </row>
    <row r="107" spans="16:22" ht="18" customHeight="1" x14ac:dyDescent="0.25">
      <c r="P107" s="16"/>
      <c r="Q107" s="83">
        <f>IF(H56="I", Sumário!$F$55, IF(H56="A", Sumário!$F$56, Sumário!$F$57))</f>
        <v>0.4</v>
      </c>
      <c r="R107" s="83" t="b">
        <f>IF(G56="ALI",35*Q107,IF(G56="AIE",15*Q107))</f>
        <v>0</v>
      </c>
      <c r="S107" s="14" t="b">
        <f>IF(OR(G56="EE",G56="CE"),IF(H56="I",4,(4*Q107)),IF(G56="SE",IF(H56="I",5, 5*Q107),IF(G56="ALI", IF(H56="I", 7, 7*Q107), IF(G56="AIE", IF(H56="I", 5, 5*Q107)))))</f>
        <v>0</v>
      </c>
      <c r="T107" s="14"/>
      <c r="U107" s="14"/>
      <c r="V107" s="14"/>
    </row>
    <row r="108" spans="16:22" ht="18" customHeight="1" x14ac:dyDescent="0.25">
      <c r="P108" s="16"/>
      <c r="Q108" s="83">
        <f>IF(H57="I", Sumário!$F$55, IF(H57="A", Sumário!$F$56, Sumário!$F$57))</f>
        <v>0.4</v>
      </c>
      <c r="R108" s="83" t="b">
        <f>IF(G57="ALI",35*Q108,IF(G57="AIE",15*Q108))</f>
        <v>0</v>
      </c>
      <c r="S108" s="14" t="b">
        <f>IF(OR(G57="EE",G57="CE"),IF(H57="I",4,(4*Q108)),IF(G57="SE",IF(H57="I",5, 5*Q108),IF(G57="ALI", IF(H57="I", 7, 7*Q108), IF(G57="AIE", IF(H57="I", 5, 5*Q108)))))</f>
        <v>0</v>
      </c>
      <c r="T108" s="14"/>
      <c r="U108" s="14"/>
      <c r="V108" s="14"/>
    </row>
    <row r="109" spans="16:22" ht="18" customHeight="1" x14ac:dyDescent="0.25">
      <c r="P109" s="16"/>
      <c r="Q109" s="83">
        <f>IF(H58="I", Sumário!$F$55, IF(H58="A", Sumário!$F$56, Sumário!$F$57))</f>
        <v>0.4</v>
      </c>
      <c r="R109" s="83" t="b">
        <f>IF(G58="ALI",35*Q109,IF(G58="AIE",15*Q109))</f>
        <v>0</v>
      </c>
      <c r="S109" s="14" t="b">
        <f>IF(OR(G58="EE",G58="CE"),IF(H58="I",4,(4*Q109)),IF(G58="SE",IF(H58="I",5, 5*Q109),IF(G58="ALI", IF(H58="I", 7, 7*Q109), IF(G58="AIE", IF(H58="I", 5, 5*Q109)))))</f>
        <v>0</v>
      </c>
      <c r="T109" s="14"/>
      <c r="U109" s="14"/>
      <c r="V109" s="14"/>
    </row>
    <row r="110" spans="16:22" ht="18" customHeight="1" x14ac:dyDescent="0.25">
      <c r="U110" s="14"/>
      <c r="V110" s="14"/>
    </row>
    <row r="111" spans="16:22" ht="18" customHeight="1" x14ac:dyDescent="0.25">
      <c r="U111" s="14"/>
      <c r="V111" s="14"/>
    </row>
    <row r="112" spans="16:22" ht="18" customHeight="1" x14ac:dyDescent="0.25">
      <c r="U112" s="14"/>
      <c r="V112" s="14"/>
    </row>
    <row r="113" spans="21:22" ht="18" customHeight="1" x14ac:dyDescent="0.25">
      <c r="U113" s="14"/>
      <c r="V113" s="14"/>
    </row>
    <row r="114" spans="21:22" ht="18" customHeight="1" x14ac:dyDescent="0.25">
      <c r="U114" s="14"/>
      <c r="V114" s="14"/>
    </row>
    <row r="115" spans="21:22" ht="18" customHeight="1" x14ac:dyDescent="0.25">
      <c r="U115" s="14"/>
      <c r="V115" s="14"/>
    </row>
    <row r="116" spans="21:22" ht="18" customHeight="1" x14ac:dyDescent="0.25">
      <c r="U116" s="14"/>
      <c r="V116" s="14"/>
    </row>
    <row r="117" spans="21:22" ht="18" customHeight="1" x14ac:dyDescent="0.25">
      <c r="U117" s="14"/>
      <c r="V117" s="14"/>
    </row>
  </sheetData>
  <mergeCells count="15">
    <mergeCell ref="A8:F8"/>
    <mergeCell ref="A9:F9"/>
    <mergeCell ref="A15:F15"/>
    <mergeCell ref="A21:F21"/>
    <mergeCell ref="A6:E6"/>
    <mergeCell ref="F6:G6"/>
    <mergeCell ref="T7:U7"/>
    <mergeCell ref="H6:M6"/>
    <mergeCell ref="N6:O6"/>
    <mergeCell ref="A1:U3"/>
    <mergeCell ref="A4:F4"/>
    <mergeCell ref="G4:V4"/>
    <mergeCell ref="A5:F5"/>
    <mergeCell ref="G5:V5"/>
    <mergeCell ref="A7:F7"/>
  </mergeCells>
  <phoneticPr fontId="0" type="noConversion"/>
  <conditionalFormatting sqref="H8:H58">
    <cfRule type="cellIs" dxfId="2" priority="10" stopIfTrue="1" operator="equal">
      <formula>"I"</formula>
    </cfRule>
    <cfRule type="cellIs" dxfId="1" priority="11" stopIfTrue="1" operator="equal">
      <formula>"A"</formula>
    </cfRule>
    <cfRule type="cellIs" dxfId="0" priority="12" stopIfTrue="1" operator="equal">
      <formula>"E"</formula>
    </cfRule>
  </conditionalFormatting>
  <dataValidations xWindow="525" yWindow="551" count="2">
    <dataValidation allowBlank="1" showInputMessage="1" showErrorMessage="1" promptTitle="Tipo da Função" prompt="ALI, AIE, EE, SE, CE" sqref="G8:G58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58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1"/>
  <sheetViews>
    <sheetView showGridLines="0" topLeftCell="A34" zoomScaleSheetLayoutView="100" workbookViewId="0">
      <selection activeCell="R46" sqref="R46"/>
    </sheetView>
  </sheetViews>
  <sheetFormatPr defaultRowHeight="12.75" x14ac:dyDescent="0.25"/>
  <cols>
    <col min="1" max="1" width="4.2851562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33" t="s">
        <v>30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5" ht="12" customHeight="1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5" ht="12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5" ht="12" customHeight="1" x14ac:dyDescent="0.25">
      <c r="A4" s="134" t="str">
        <f>Contagem!A5&amp;" : "&amp;Contagem!F5</f>
        <v>Aplicação : Eits desafio</v>
      </c>
      <c r="B4" s="134"/>
      <c r="C4" s="134"/>
      <c r="D4" s="134"/>
      <c r="E4" s="134"/>
      <c r="F4" s="135" t="str">
        <f>Contagem!A6&amp;" : "&amp;Contagem!F6</f>
        <v>Projeto : Eits desafio</v>
      </c>
      <c r="G4" s="135"/>
      <c r="H4" s="135"/>
      <c r="I4" s="135"/>
      <c r="J4" s="135"/>
      <c r="K4" s="135"/>
      <c r="L4" s="135"/>
    </row>
    <row r="5" spans="1:15" ht="12" customHeight="1" x14ac:dyDescent="0.25">
      <c r="A5" s="136" t="str">
        <f>Contagem!A7&amp;" : "&amp;Contagem!F7</f>
        <v>Responsável : André Luiz</v>
      </c>
      <c r="B5" s="136"/>
      <c r="C5" s="136"/>
      <c r="D5" s="136"/>
      <c r="E5" s="136"/>
      <c r="F5" s="135" t="str">
        <f>Contagem!A8&amp;" : "&amp;Contagem!F8</f>
        <v>Revisor : André Luiz</v>
      </c>
      <c r="G5" s="135"/>
      <c r="H5" s="135"/>
      <c r="I5" s="135"/>
      <c r="J5" s="135"/>
      <c r="K5" s="135"/>
      <c r="L5" s="135"/>
    </row>
    <row r="6" spans="1:15" ht="12" customHeight="1" x14ac:dyDescent="0.25">
      <c r="A6" s="11" t="str">
        <f>Contagem!A4&amp;" : "&amp;Contagem!F4</f>
        <v>Empresa : André Luiz</v>
      </c>
      <c r="B6" s="21"/>
      <c r="C6" s="21"/>
      <c r="D6" s="22"/>
      <c r="E6" s="22"/>
      <c r="F6" s="127" t="str">
        <f>Contagem!R4&amp;" = "&amp;VALUE(Contagem!T4)</f>
        <v>R$/PF = 0</v>
      </c>
      <c r="G6" s="127"/>
      <c r="H6" s="127" t="str">
        <f>" Custo= "&amp;DOLLAR(Contagem!W4)</f>
        <v xml:space="preserve"> Custo= R$ 0,00</v>
      </c>
      <c r="I6" s="127"/>
      <c r="J6" s="127"/>
      <c r="K6" s="137" t="str">
        <f>"PF  = "&amp;VALUE(Contagem!W5)</f>
        <v>PF  = 73</v>
      </c>
      <c r="L6" s="137"/>
    </row>
    <row r="7" spans="1:15" ht="12" customHeight="1" x14ac:dyDescent="0.25">
      <c r="A7" s="128" t="s">
        <v>31</v>
      </c>
      <c r="B7" s="128"/>
      <c r="C7" s="129" t="s">
        <v>32</v>
      </c>
      <c r="D7" s="129"/>
      <c r="E7" s="129"/>
      <c r="F7" s="129"/>
      <c r="G7" s="130" t="s">
        <v>33</v>
      </c>
      <c r="H7" s="130"/>
      <c r="I7" s="132" t="s">
        <v>34</v>
      </c>
      <c r="J7" s="132"/>
      <c r="K7" s="132"/>
      <c r="L7" s="132"/>
    </row>
    <row r="8" spans="1:15" ht="12" customHeight="1" x14ac:dyDescent="0.25">
      <c r="A8" s="128"/>
      <c r="B8" s="128"/>
      <c r="C8" s="129"/>
      <c r="D8" s="129"/>
      <c r="E8" s="129"/>
      <c r="F8" s="129"/>
      <c r="G8" s="130"/>
      <c r="H8" s="130"/>
      <c r="I8" s="130"/>
      <c r="J8" s="132"/>
      <c r="K8" s="132"/>
      <c r="L8" s="132"/>
    </row>
    <row r="9" spans="1:15" ht="12" customHeight="1" x14ac:dyDescent="0.25">
      <c r="A9" s="23"/>
      <c r="B9" s="24"/>
      <c r="C9" s="25"/>
      <c r="D9" s="25"/>
      <c r="E9" s="25"/>
      <c r="F9" s="25"/>
      <c r="G9" s="25"/>
      <c r="H9" s="25"/>
      <c r="I9" s="25"/>
      <c r="J9" s="25"/>
      <c r="K9" s="25"/>
      <c r="L9" s="26"/>
    </row>
    <row r="10" spans="1:15" ht="12" customHeight="1" x14ac:dyDescent="0.25">
      <c r="A10" s="27"/>
      <c r="B10" s="28" t="s">
        <v>35</v>
      </c>
      <c r="C10" s="29">
        <f>COUNTIF(CF,"EEL")</f>
        <v>4</v>
      </c>
      <c r="D10" s="30"/>
      <c r="E10" s="31" t="s">
        <v>36</v>
      </c>
      <c r="F10" s="31" t="s">
        <v>37</v>
      </c>
      <c r="G10" s="29">
        <f>C10*3</f>
        <v>12</v>
      </c>
      <c r="H10" s="30"/>
      <c r="I10" s="32"/>
      <c r="J10" s="30"/>
      <c r="K10" s="30"/>
      <c r="L10" s="33"/>
    </row>
    <row r="11" spans="1:15" ht="12" customHeight="1" x14ac:dyDescent="0.25">
      <c r="A11" s="27"/>
      <c r="B11" s="28"/>
      <c r="C11" s="29">
        <f>COUNTIF(CF,"EEA")</f>
        <v>5</v>
      </c>
      <c r="D11" s="30"/>
      <c r="E11" s="31" t="s">
        <v>38</v>
      </c>
      <c r="F11" s="31" t="s">
        <v>39</v>
      </c>
      <c r="G11" s="29">
        <f>C11*4</f>
        <v>20</v>
      </c>
      <c r="H11" s="30"/>
      <c r="I11" s="32"/>
      <c r="J11" s="30"/>
      <c r="K11" s="30"/>
      <c r="L11" s="33"/>
    </row>
    <row r="12" spans="1:15" ht="12" customHeight="1" x14ac:dyDescent="0.25">
      <c r="A12" s="27"/>
      <c r="B12" s="28"/>
      <c r="C12" s="29">
        <f>COUNTIF(CF,"EEH")</f>
        <v>0</v>
      </c>
      <c r="D12" s="30"/>
      <c r="E12" s="31" t="s">
        <v>40</v>
      </c>
      <c r="F12" s="31" t="s">
        <v>41</v>
      </c>
      <c r="G12" s="29">
        <f>C12*6</f>
        <v>0</v>
      </c>
      <c r="H12" s="30"/>
      <c r="I12" s="32"/>
      <c r="J12" s="30"/>
      <c r="L12" s="34"/>
    </row>
    <row r="13" spans="1:15" ht="6.75" customHeight="1" x14ac:dyDescent="0.25">
      <c r="A13" s="27"/>
      <c r="B13" s="28"/>
      <c r="C13" s="25"/>
      <c r="D13" s="30"/>
      <c r="E13" s="30"/>
      <c r="F13" s="30"/>
      <c r="G13" s="25"/>
      <c r="H13" s="30"/>
      <c r="I13" s="30"/>
      <c r="J13" s="30"/>
      <c r="K13" s="30"/>
      <c r="L13" s="33"/>
    </row>
    <row r="14" spans="1:15" ht="12" customHeight="1" x14ac:dyDescent="0.25">
      <c r="A14" s="27"/>
      <c r="B14" s="35" t="s">
        <v>42</v>
      </c>
      <c r="C14" s="29">
        <f>SUM(C10:C12)</f>
        <v>9</v>
      </c>
      <c r="D14" s="30"/>
      <c r="E14" s="30"/>
      <c r="F14" s="35" t="s">
        <v>42</v>
      </c>
      <c r="G14" s="29">
        <f>SUM(G10:G12)</f>
        <v>32</v>
      </c>
      <c r="H14" s="30"/>
      <c r="I14" s="36">
        <f>IF($G$45&lt;&gt;0,G14/$G$45,"")</f>
        <v>0.43835616438356162</v>
      </c>
      <c r="J14" s="30"/>
      <c r="K14" s="30"/>
      <c r="L14" s="33"/>
      <c r="O14" s="37"/>
    </row>
    <row r="15" spans="1:15" ht="6" customHeight="1" x14ac:dyDescent="0.25">
      <c r="A15" s="38"/>
      <c r="B15" s="39"/>
      <c r="C15" s="29"/>
      <c r="D15" s="29"/>
      <c r="E15" s="29"/>
      <c r="F15" s="29"/>
      <c r="G15" s="29"/>
      <c r="H15" s="29"/>
      <c r="I15" s="29"/>
      <c r="J15" s="29"/>
      <c r="K15" s="29"/>
      <c r="L15" s="40"/>
    </row>
    <row r="16" spans="1:15" ht="12" customHeight="1" x14ac:dyDescent="0.25">
      <c r="A16" s="27"/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3"/>
    </row>
    <row r="17" spans="1:12" ht="12" customHeight="1" x14ac:dyDescent="0.25">
      <c r="A17" s="27"/>
      <c r="B17" s="28" t="s">
        <v>43</v>
      </c>
      <c r="C17" s="29">
        <f>COUNTIF(CF,"SEL")</f>
        <v>0</v>
      </c>
      <c r="D17" s="30"/>
      <c r="E17" s="31" t="s">
        <v>36</v>
      </c>
      <c r="F17" s="31" t="s">
        <v>39</v>
      </c>
      <c r="G17" s="29">
        <f>C17*4</f>
        <v>0</v>
      </c>
      <c r="H17" s="30"/>
      <c r="I17" s="30"/>
      <c r="J17" s="30"/>
      <c r="K17" s="30"/>
      <c r="L17" s="33"/>
    </row>
    <row r="18" spans="1:12" ht="12" customHeight="1" x14ac:dyDescent="0.25">
      <c r="A18" s="27"/>
      <c r="B18" s="28"/>
      <c r="C18" s="29">
        <f>COUNTIF(CF,"SEA")</f>
        <v>0</v>
      </c>
      <c r="D18" s="30"/>
      <c r="E18" s="31" t="s">
        <v>38</v>
      </c>
      <c r="F18" s="31" t="s">
        <v>44</v>
      </c>
      <c r="G18" s="29">
        <f>C18*5</f>
        <v>0</v>
      </c>
      <c r="H18" s="30"/>
      <c r="I18" s="30"/>
      <c r="J18" s="30"/>
      <c r="K18" s="30"/>
      <c r="L18" s="33"/>
    </row>
    <row r="19" spans="1:12" ht="12" customHeight="1" x14ac:dyDescent="0.25">
      <c r="A19" s="27"/>
      <c r="B19" s="28"/>
      <c r="C19" s="29">
        <f>COUNTIF(CF,"SEH")</f>
        <v>0</v>
      </c>
      <c r="D19" s="30"/>
      <c r="E19" s="31" t="s">
        <v>40</v>
      </c>
      <c r="F19" s="31" t="s">
        <v>45</v>
      </c>
      <c r="G19" s="29">
        <f>C19*7</f>
        <v>0</v>
      </c>
      <c r="H19" s="30"/>
      <c r="I19" s="30"/>
      <c r="J19" s="30"/>
      <c r="K19" s="30"/>
      <c r="L19" s="34"/>
    </row>
    <row r="20" spans="1:12" ht="6.75" customHeight="1" x14ac:dyDescent="0.25">
      <c r="A20" s="27"/>
      <c r="B20" s="28"/>
      <c r="C20" s="25"/>
      <c r="D20" s="30"/>
      <c r="E20" s="30"/>
      <c r="F20" s="30"/>
      <c r="G20" s="25"/>
      <c r="H20" s="30"/>
      <c r="I20" s="30"/>
      <c r="J20" s="30"/>
      <c r="K20" s="30"/>
      <c r="L20" s="33"/>
    </row>
    <row r="21" spans="1:12" ht="12" customHeight="1" x14ac:dyDescent="0.25">
      <c r="A21" s="27"/>
      <c r="B21" s="35" t="s">
        <v>42</v>
      </c>
      <c r="C21" s="29">
        <f>SUM(C17:C19)</f>
        <v>0</v>
      </c>
      <c r="D21" s="30"/>
      <c r="E21" s="30"/>
      <c r="F21" s="35" t="s">
        <v>42</v>
      </c>
      <c r="G21" s="29">
        <f>SUM(G17:G19)</f>
        <v>0</v>
      </c>
      <c r="H21" s="30"/>
      <c r="I21" s="41">
        <f>IF($G$45&lt;&gt;0,G21/$G$45,"")</f>
        <v>0</v>
      </c>
      <c r="J21" s="30"/>
      <c r="K21" s="30"/>
      <c r="L21" s="33"/>
    </row>
    <row r="22" spans="1:12" ht="6" customHeight="1" x14ac:dyDescent="0.25">
      <c r="A22" s="38"/>
      <c r="B22" s="39"/>
      <c r="C22" s="29"/>
      <c r="D22" s="29"/>
      <c r="E22" s="29"/>
      <c r="F22" s="29"/>
      <c r="G22" s="29"/>
      <c r="H22" s="29"/>
      <c r="I22" s="29"/>
      <c r="J22" s="29"/>
      <c r="K22" s="29"/>
      <c r="L22" s="40"/>
    </row>
    <row r="23" spans="1:12" ht="12" customHeight="1" x14ac:dyDescent="0.25">
      <c r="A23" s="23"/>
      <c r="B23" s="24"/>
      <c r="C23" s="30"/>
      <c r="D23" s="25"/>
      <c r="E23" s="25"/>
      <c r="F23" s="25"/>
      <c r="G23" s="30"/>
      <c r="H23" s="25"/>
      <c r="I23" s="25"/>
      <c r="J23" s="25"/>
      <c r="K23" s="25"/>
      <c r="L23" s="26"/>
    </row>
    <row r="24" spans="1:12" ht="12" customHeight="1" x14ac:dyDescent="0.25">
      <c r="A24" s="27"/>
      <c r="B24" s="28" t="s">
        <v>46</v>
      </c>
      <c r="C24" s="29">
        <f>COUNTIF(CF,"CEL")</f>
        <v>4</v>
      </c>
      <c r="D24" s="30"/>
      <c r="E24" s="31" t="s">
        <v>36</v>
      </c>
      <c r="F24" s="31" t="s">
        <v>37</v>
      </c>
      <c r="G24" s="29">
        <f>C24*3</f>
        <v>12</v>
      </c>
      <c r="H24" s="30"/>
      <c r="I24" s="30"/>
      <c r="J24" s="30"/>
      <c r="K24" s="30"/>
      <c r="L24" s="33"/>
    </row>
    <row r="25" spans="1:12" ht="12" customHeight="1" x14ac:dyDescent="0.25">
      <c r="A25" s="27"/>
      <c r="B25" s="28"/>
      <c r="C25" s="29">
        <f>COUNTIF(CF,"CEA")</f>
        <v>2</v>
      </c>
      <c r="D25" s="30"/>
      <c r="E25" s="31" t="s">
        <v>38</v>
      </c>
      <c r="F25" s="31" t="s">
        <v>39</v>
      </c>
      <c r="G25" s="29">
        <f>C25*4</f>
        <v>8</v>
      </c>
      <c r="H25" s="30"/>
      <c r="I25" s="30"/>
      <c r="J25" s="30"/>
      <c r="K25" s="30"/>
      <c r="L25" s="33"/>
    </row>
    <row r="26" spans="1:12" ht="12" customHeight="1" x14ac:dyDescent="0.25">
      <c r="A26" s="27"/>
      <c r="B26" s="28"/>
      <c r="C26" s="29">
        <f>COUNTIF(CF,"CEH")</f>
        <v>0</v>
      </c>
      <c r="D26" s="30"/>
      <c r="E26" s="31" t="s">
        <v>40</v>
      </c>
      <c r="F26" s="31" t="s">
        <v>41</v>
      </c>
      <c r="G26" s="29">
        <f>C26*6</f>
        <v>0</v>
      </c>
      <c r="H26" s="30"/>
      <c r="I26" s="30"/>
      <c r="J26" s="30"/>
      <c r="K26" s="30"/>
      <c r="L26" s="34"/>
    </row>
    <row r="27" spans="1:12" ht="6.75" customHeight="1" x14ac:dyDescent="0.25">
      <c r="A27" s="27"/>
      <c r="B27" s="28"/>
      <c r="C27" s="25"/>
      <c r="D27" s="30"/>
      <c r="E27" s="30"/>
      <c r="F27" s="30"/>
      <c r="G27" s="25"/>
      <c r="H27" s="30"/>
      <c r="I27" s="30"/>
      <c r="J27" s="30"/>
      <c r="K27" s="30"/>
      <c r="L27" s="33"/>
    </row>
    <row r="28" spans="1:12" ht="12" customHeight="1" x14ac:dyDescent="0.25">
      <c r="A28" s="27"/>
      <c r="B28" s="35" t="s">
        <v>42</v>
      </c>
      <c r="C28" s="29">
        <f>SUM(C24:C26)</f>
        <v>6</v>
      </c>
      <c r="D28" s="30"/>
      <c r="E28" s="30"/>
      <c r="F28" s="35" t="s">
        <v>42</v>
      </c>
      <c r="G28" s="29">
        <f>SUM(G24:G26)</f>
        <v>20</v>
      </c>
      <c r="H28" s="30"/>
      <c r="I28" s="42">
        <f>IF($G$45&lt;&gt;0,G28/$G$45,"")</f>
        <v>0.27397260273972601</v>
      </c>
      <c r="J28" s="30"/>
      <c r="K28" s="30"/>
      <c r="L28" s="33"/>
    </row>
    <row r="29" spans="1:12" ht="6" customHeight="1" x14ac:dyDescent="0.25">
      <c r="A29" s="38"/>
      <c r="B29" s="39"/>
      <c r="C29" s="29"/>
      <c r="D29" s="29"/>
      <c r="E29" s="29"/>
      <c r="F29" s="29"/>
      <c r="G29" s="29"/>
      <c r="H29" s="29"/>
      <c r="I29" s="29"/>
      <c r="J29" s="29"/>
      <c r="K29" s="29"/>
      <c r="L29" s="40"/>
    </row>
    <row r="30" spans="1:12" ht="12" customHeight="1" x14ac:dyDescent="0.25">
      <c r="A30" s="23"/>
      <c r="B30" s="24"/>
      <c r="C30" s="30"/>
      <c r="D30" s="25"/>
      <c r="E30" s="25"/>
      <c r="F30" s="25"/>
      <c r="G30" s="30"/>
      <c r="H30" s="25"/>
      <c r="I30" s="25"/>
      <c r="J30" s="25"/>
      <c r="K30" s="25"/>
      <c r="L30" s="26"/>
    </row>
    <row r="31" spans="1:12" ht="12" customHeight="1" x14ac:dyDescent="0.25">
      <c r="A31" s="27"/>
      <c r="B31" s="28" t="s">
        <v>47</v>
      </c>
      <c r="C31" s="29">
        <f>COUNTIF(CF,"ALIL")</f>
        <v>3</v>
      </c>
      <c r="D31" s="30"/>
      <c r="E31" s="30" t="s">
        <v>36</v>
      </c>
      <c r="F31" s="30" t="s">
        <v>45</v>
      </c>
      <c r="G31" s="29">
        <f>C31*7</f>
        <v>21</v>
      </c>
      <c r="H31" s="30"/>
      <c r="I31" s="30"/>
      <c r="J31" s="30"/>
      <c r="K31" s="30"/>
      <c r="L31" s="33"/>
    </row>
    <row r="32" spans="1:12" ht="12" customHeight="1" x14ac:dyDescent="0.25">
      <c r="A32" s="27"/>
      <c r="B32" s="28"/>
      <c r="C32" s="29">
        <f>COUNTIF(CF,"ALIA")</f>
        <v>0</v>
      </c>
      <c r="D32" s="30"/>
      <c r="E32" s="30" t="s">
        <v>38</v>
      </c>
      <c r="F32" s="30" t="s">
        <v>48</v>
      </c>
      <c r="G32" s="29">
        <f>C32*10</f>
        <v>0</v>
      </c>
      <c r="H32" s="30"/>
      <c r="I32" s="30"/>
      <c r="J32" s="30"/>
      <c r="K32" s="30"/>
      <c r="L32" s="33"/>
    </row>
    <row r="33" spans="1:12" ht="12" customHeight="1" x14ac:dyDescent="0.25">
      <c r="A33" s="27"/>
      <c r="B33" s="28"/>
      <c r="C33" s="29">
        <f>COUNTIF(CF,"ALIH")</f>
        <v>0</v>
      </c>
      <c r="D33" s="30"/>
      <c r="E33" s="30" t="s">
        <v>40</v>
      </c>
      <c r="F33" s="30" t="s">
        <v>49</v>
      </c>
      <c r="G33" s="29">
        <f>C33*15</f>
        <v>0</v>
      </c>
      <c r="H33" s="30"/>
      <c r="I33" s="30"/>
      <c r="J33" s="30"/>
      <c r="K33" s="30"/>
      <c r="L33" s="34"/>
    </row>
    <row r="34" spans="1:12" ht="6.75" customHeight="1" x14ac:dyDescent="0.25">
      <c r="A34" s="27"/>
      <c r="B34" s="28"/>
      <c r="C34" s="25"/>
      <c r="D34" s="30"/>
      <c r="E34" s="30"/>
      <c r="F34" s="30"/>
      <c r="G34" s="25"/>
      <c r="H34" s="30"/>
      <c r="I34" s="30"/>
      <c r="J34" s="30"/>
      <c r="K34" s="30"/>
      <c r="L34" s="33"/>
    </row>
    <row r="35" spans="1:12" ht="12" customHeight="1" x14ac:dyDescent="0.25">
      <c r="A35" s="27"/>
      <c r="B35" s="35" t="s">
        <v>42</v>
      </c>
      <c r="C35" s="29">
        <f>SUM(C31:C33)</f>
        <v>3</v>
      </c>
      <c r="D35" s="30"/>
      <c r="E35" s="30"/>
      <c r="F35" s="35" t="s">
        <v>42</v>
      </c>
      <c r="G35" s="29">
        <f>SUM(G31:G33)</f>
        <v>21</v>
      </c>
      <c r="H35" s="30"/>
      <c r="I35" s="43">
        <f>IF($G$45&lt;&gt;0,G35/$G$45,"")</f>
        <v>0.28767123287671231</v>
      </c>
      <c r="J35" s="30"/>
      <c r="K35" s="30"/>
      <c r="L35" s="33"/>
    </row>
    <row r="36" spans="1:12" ht="6" customHeight="1" x14ac:dyDescent="0.25">
      <c r="A36" s="38"/>
      <c r="B36" s="39"/>
      <c r="C36" s="29"/>
      <c r="D36" s="29"/>
      <c r="E36" s="29"/>
      <c r="F36" s="29"/>
      <c r="G36" s="29"/>
      <c r="H36" s="29"/>
      <c r="I36" s="29"/>
      <c r="J36" s="29"/>
      <c r="K36" s="29"/>
      <c r="L36" s="40"/>
    </row>
    <row r="37" spans="1:12" ht="12" customHeight="1" x14ac:dyDescent="0.25">
      <c r="A37" s="23"/>
      <c r="B37" s="24"/>
      <c r="C37" s="30"/>
      <c r="D37" s="25"/>
      <c r="E37" s="25"/>
      <c r="F37" s="25"/>
      <c r="G37" s="30"/>
      <c r="H37" s="25"/>
      <c r="I37" s="25"/>
      <c r="J37" s="25"/>
      <c r="K37" s="25"/>
      <c r="L37" s="26"/>
    </row>
    <row r="38" spans="1:12" ht="12" customHeight="1" x14ac:dyDescent="0.25">
      <c r="A38" s="27"/>
      <c r="B38" s="28" t="s">
        <v>50</v>
      </c>
      <c r="C38" s="29">
        <f>COUNTIF(CF,"AIEL")</f>
        <v>0</v>
      </c>
      <c r="D38" s="30"/>
      <c r="E38" s="30" t="s">
        <v>36</v>
      </c>
      <c r="F38" s="30" t="s">
        <v>44</v>
      </c>
      <c r="G38" s="29">
        <f>C38*5</f>
        <v>0</v>
      </c>
      <c r="H38" s="30"/>
      <c r="I38" s="30"/>
      <c r="J38" s="30"/>
      <c r="K38" s="30"/>
      <c r="L38" s="33"/>
    </row>
    <row r="39" spans="1:12" ht="12" customHeight="1" x14ac:dyDescent="0.25">
      <c r="A39" s="27"/>
      <c r="B39" s="28"/>
      <c r="C39" s="29">
        <f>COUNTIF(CF,"AIEA")</f>
        <v>0</v>
      </c>
      <c r="D39" s="30"/>
      <c r="E39" s="30" t="s">
        <v>38</v>
      </c>
      <c r="F39" s="30" t="s">
        <v>45</v>
      </c>
      <c r="G39" s="29">
        <f>C39*7</f>
        <v>0</v>
      </c>
      <c r="H39" s="30"/>
      <c r="I39" s="30"/>
      <c r="J39" s="30"/>
      <c r="K39" s="30"/>
      <c r="L39" s="33"/>
    </row>
    <row r="40" spans="1:12" ht="12" customHeight="1" x14ac:dyDescent="0.25">
      <c r="A40" s="27"/>
      <c r="B40" s="28"/>
      <c r="C40" s="29">
        <f>COUNTIF(CF,"AIEH")</f>
        <v>0</v>
      </c>
      <c r="D40" s="30"/>
      <c r="E40" s="30" t="s">
        <v>40</v>
      </c>
      <c r="F40" s="30" t="s">
        <v>48</v>
      </c>
      <c r="G40" s="29">
        <f>C40*10</f>
        <v>0</v>
      </c>
      <c r="H40" s="30"/>
      <c r="I40" s="30"/>
      <c r="J40" s="30"/>
      <c r="K40" s="30"/>
      <c r="L40" s="34"/>
    </row>
    <row r="41" spans="1:12" ht="6.75" customHeight="1" x14ac:dyDescent="0.25">
      <c r="A41" s="27"/>
      <c r="B41" s="28"/>
      <c r="C41" s="25"/>
      <c r="D41" s="30"/>
      <c r="E41" s="30"/>
      <c r="F41" s="30"/>
      <c r="G41" s="25"/>
      <c r="H41" s="30"/>
      <c r="I41" s="30"/>
      <c r="J41" s="30"/>
      <c r="K41" s="30"/>
      <c r="L41" s="33"/>
    </row>
    <row r="42" spans="1:12" ht="12" customHeight="1" x14ac:dyDescent="0.25">
      <c r="A42" s="27"/>
      <c r="B42" s="35" t="s">
        <v>42</v>
      </c>
      <c r="C42" s="29">
        <f>SUM(C38:C40)</f>
        <v>0</v>
      </c>
      <c r="D42" s="30"/>
      <c r="E42" s="30"/>
      <c r="F42" s="35" t="s">
        <v>42</v>
      </c>
      <c r="G42" s="29">
        <f>SUM(G38:G40)</f>
        <v>0</v>
      </c>
      <c r="H42" s="30"/>
      <c r="I42" s="44">
        <f>IF($G$45&lt;&gt;0,G42/$G$45,"")</f>
        <v>0</v>
      </c>
      <c r="J42" s="30"/>
      <c r="K42" s="30"/>
      <c r="L42" s="33"/>
    </row>
    <row r="43" spans="1:12" ht="6" customHeight="1" x14ac:dyDescent="0.25">
      <c r="A43" s="38"/>
      <c r="B43" s="39"/>
      <c r="C43" s="29"/>
      <c r="D43" s="29"/>
      <c r="E43" s="29"/>
      <c r="F43" s="29"/>
      <c r="G43" s="29"/>
      <c r="H43" s="29"/>
      <c r="I43" s="29"/>
      <c r="J43" s="29"/>
      <c r="K43" s="29"/>
      <c r="L43" s="40"/>
    </row>
    <row r="44" spans="1:12" ht="12" customHeight="1" x14ac:dyDescent="0.25">
      <c r="A44" s="27"/>
      <c r="B44" s="28"/>
      <c r="C44" s="30"/>
      <c r="D44" s="30"/>
      <c r="E44" s="30"/>
      <c r="F44" s="30"/>
      <c r="G44" s="30"/>
      <c r="H44" s="30"/>
      <c r="I44" s="30"/>
      <c r="J44" s="30"/>
      <c r="K44" s="30"/>
      <c r="L44" s="33"/>
    </row>
    <row r="45" spans="1:12" ht="12" customHeight="1" x14ac:dyDescent="0.25">
      <c r="A45" s="27"/>
      <c r="B45" s="28" t="s">
        <v>60</v>
      </c>
      <c r="C45" s="30"/>
      <c r="D45" s="30"/>
      <c r="E45" s="30"/>
      <c r="F45" s="30"/>
      <c r="G45" s="29">
        <f>SUM(G14+G21+G28+G35+G42)</f>
        <v>73</v>
      </c>
      <c r="H45" s="30"/>
      <c r="I45" s="30"/>
      <c r="J45" s="30"/>
      <c r="K45" s="30"/>
      <c r="L45" s="33"/>
    </row>
    <row r="46" spans="1:12" ht="12" customHeight="1" x14ac:dyDescent="0.25">
      <c r="A46" s="27"/>
      <c r="B46" s="28" t="s">
        <v>61</v>
      </c>
      <c r="C46" s="30"/>
      <c r="D46" s="30"/>
      <c r="E46" s="30"/>
      <c r="F46" s="30"/>
      <c r="G46" s="29">
        <f>(C10+C11+C12)*4+(C17+C18+C19)*5+(C24+C25+C26)*4+(C31+C32+C33)*7+(C38+C39+C40)*5</f>
        <v>81</v>
      </c>
      <c r="H46" s="30"/>
      <c r="I46" s="30"/>
      <c r="J46" s="30"/>
      <c r="K46" s="30"/>
      <c r="L46" s="33"/>
    </row>
    <row r="47" spans="1:12" ht="12" customHeight="1" x14ac:dyDescent="0.25">
      <c r="A47" s="27"/>
      <c r="B47" s="28" t="s">
        <v>62</v>
      </c>
      <c r="C47" s="30"/>
      <c r="D47" s="30"/>
      <c r="E47" s="30"/>
      <c r="F47" s="30"/>
      <c r="G47" s="29">
        <f>(C31+C32+C33)*35+(C38+C39+C40)*15</f>
        <v>105</v>
      </c>
      <c r="H47" s="30"/>
      <c r="I47" s="30"/>
      <c r="J47" s="30"/>
      <c r="K47" s="30"/>
      <c r="L47" s="33"/>
    </row>
    <row r="48" spans="1:12" ht="12" customHeight="1" x14ac:dyDescent="0.25">
      <c r="A48" s="27"/>
      <c r="B48" s="28"/>
      <c r="C48" s="30"/>
      <c r="D48" s="30"/>
      <c r="E48" s="30"/>
      <c r="F48" s="30"/>
      <c r="G48" s="30"/>
      <c r="H48" s="30"/>
      <c r="I48" s="30"/>
      <c r="J48" s="30"/>
      <c r="K48" s="30"/>
      <c r="L48" s="33"/>
    </row>
    <row r="49" spans="1:12" ht="12" customHeight="1" x14ac:dyDescent="0.25">
      <c r="A49" s="131" t="s">
        <v>63</v>
      </c>
      <c r="B49" s="77" t="s">
        <v>74</v>
      </c>
      <c r="C49" s="78"/>
      <c r="D49" s="78"/>
      <c r="E49" s="78"/>
      <c r="F49" s="78"/>
      <c r="G49" s="84">
        <f>SUM(Funções!O8:O58)</f>
        <v>73</v>
      </c>
      <c r="H49" s="30"/>
      <c r="I49" s="30"/>
      <c r="J49" s="30"/>
      <c r="K49" s="30"/>
      <c r="L49" s="33"/>
    </row>
    <row r="50" spans="1:12" ht="12" customHeight="1" x14ac:dyDescent="0.25">
      <c r="A50" s="131"/>
      <c r="B50" s="79" t="s">
        <v>75</v>
      </c>
      <c r="C50" s="30"/>
      <c r="D50" s="30"/>
      <c r="E50" s="30"/>
      <c r="F50" s="30"/>
      <c r="G50" s="29" t="e">
        <f>SUM(Funções!S8:S109)</f>
        <v>#REF!</v>
      </c>
      <c r="H50" s="30"/>
      <c r="I50" s="30"/>
      <c r="J50" s="30"/>
      <c r="L50" s="33"/>
    </row>
    <row r="51" spans="1:12" ht="13.5" customHeight="1" x14ac:dyDescent="0.25">
      <c r="A51" s="131"/>
      <c r="B51" s="80" t="s">
        <v>76</v>
      </c>
      <c r="C51" s="81"/>
      <c r="D51" s="81"/>
      <c r="E51" s="81"/>
      <c r="F51" s="81"/>
      <c r="G51" s="29" t="e">
        <f>SUM(Funções!R8:R109)</f>
        <v>#REF!</v>
      </c>
      <c r="H51" s="30"/>
      <c r="I51" s="30"/>
      <c r="J51" s="30"/>
      <c r="L51" s="33"/>
    </row>
    <row r="52" spans="1:12" ht="12" customHeight="1" x14ac:dyDescent="0.2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6"/>
    </row>
    <row r="53" spans="1:12" ht="12" customHeight="1" x14ac:dyDescent="0.25">
      <c r="A53" s="27"/>
      <c r="B53" s="28" t="s">
        <v>58</v>
      </c>
      <c r="C53" s="28"/>
      <c r="D53" s="28"/>
      <c r="E53" s="28"/>
      <c r="F53" s="28"/>
      <c r="G53" s="28"/>
      <c r="H53" s="28"/>
      <c r="I53" s="28"/>
      <c r="J53" s="28"/>
      <c r="K53" s="28"/>
      <c r="L53" s="33"/>
    </row>
    <row r="54" spans="1:12" ht="12" customHeight="1" x14ac:dyDescent="0.25">
      <c r="A54" s="27"/>
      <c r="B54" s="28"/>
      <c r="C54" s="28"/>
      <c r="D54" s="28"/>
      <c r="E54" s="45" t="s">
        <v>5</v>
      </c>
      <c r="F54" s="45" t="s">
        <v>51</v>
      </c>
      <c r="G54" s="45" t="s">
        <v>63</v>
      </c>
      <c r="H54" s="28"/>
      <c r="I54" s="28"/>
      <c r="J54" s="28"/>
      <c r="K54" s="28"/>
      <c r="L54" s="33"/>
    </row>
    <row r="55" spans="1:12" ht="12" customHeight="1" x14ac:dyDescent="0.25">
      <c r="A55" s="27"/>
      <c r="B55" s="126" t="s">
        <v>52</v>
      </c>
      <c r="C55" s="126"/>
      <c r="D55" s="126"/>
      <c r="E55" s="5">
        <f>SUMIF(Funções!$H$8:$H$58,"I",Funções!$N$8:$N$58)</f>
        <v>73</v>
      </c>
      <c r="F55" s="5">
        <f>Contagem!U11</f>
        <v>1</v>
      </c>
      <c r="G55" s="46">
        <f>F55*E55</f>
        <v>73</v>
      </c>
      <c r="H55" s="47"/>
      <c r="I55" s="47"/>
      <c r="J55" s="47"/>
      <c r="K55" s="48" t="s">
        <v>53</v>
      </c>
      <c r="L55" s="33"/>
    </row>
    <row r="56" spans="1:12" ht="12" customHeight="1" x14ac:dyDescent="0.25">
      <c r="A56" s="27"/>
      <c r="B56" s="126" t="s">
        <v>54</v>
      </c>
      <c r="C56" s="126"/>
      <c r="D56" s="126"/>
      <c r="E56" s="5">
        <f>SUMIF(Funções!$H$8:$H$58,"A",Funções!$N$8:$N$58)</f>
        <v>0</v>
      </c>
      <c r="F56" s="5">
        <f>Contagem!U12</f>
        <v>0.5</v>
      </c>
      <c r="G56" s="46">
        <f>F56*E56</f>
        <v>0</v>
      </c>
      <c r="H56" s="47"/>
      <c r="I56" s="47"/>
      <c r="J56" s="47"/>
      <c r="K56" s="49">
        <f>SUM(G55:G58)</f>
        <v>73</v>
      </c>
      <c r="L56" s="33"/>
    </row>
    <row r="57" spans="1:12" ht="12" customHeight="1" x14ac:dyDescent="0.25">
      <c r="A57" s="27"/>
      <c r="B57" s="126" t="s">
        <v>55</v>
      </c>
      <c r="C57" s="126"/>
      <c r="D57" s="126"/>
      <c r="E57" s="5">
        <f>SUMIF(Funções!$H$8:$H$58,"E",Funções!$N$8:$N$58)</f>
        <v>0</v>
      </c>
      <c r="F57" s="5">
        <f>Contagem!U13</f>
        <v>0.4</v>
      </c>
      <c r="G57" s="46">
        <f>F57*E57</f>
        <v>0</v>
      </c>
      <c r="H57" s="47"/>
      <c r="I57" s="47"/>
      <c r="J57" s="47"/>
      <c r="K57" s="28"/>
      <c r="L57" s="33"/>
    </row>
    <row r="58" spans="1:12" ht="12" customHeight="1" x14ac:dyDescent="0.25">
      <c r="A58" s="27"/>
      <c r="B58" s="126" t="s">
        <v>56</v>
      </c>
      <c r="C58" s="126"/>
      <c r="D58" s="126"/>
      <c r="E58" s="5">
        <f>SUMIF(Funções!$H$8:$H$58,"T",Funções!$N$8:$N$58)</f>
        <v>0</v>
      </c>
      <c r="F58" s="5">
        <f>Contagem!U14</f>
        <v>0</v>
      </c>
      <c r="G58" s="46">
        <f>F58*E58</f>
        <v>0</v>
      </c>
      <c r="H58" s="47"/>
      <c r="I58" s="47"/>
      <c r="J58" s="47"/>
      <c r="K58" s="28"/>
      <c r="L58" s="33"/>
    </row>
    <row r="59" spans="1:12" ht="12" customHeight="1" x14ac:dyDescent="0.25">
      <c r="A59" s="50"/>
      <c r="B59" s="51"/>
      <c r="C59" s="52"/>
      <c r="D59" s="53"/>
      <c r="E59" s="54"/>
      <c r="F59" s="53"/>
      <c r="G59" s="55"/>
      <c r="H59" s="56"/>
      <c r="I59" s="56"/>
      <c r="J59" s="56"/>
      <c r="K59" s="57"/>
      <c r="L59" s="58"/>
    </row>
    <row r="60" spans="1:12" ht="12" customHeight="1" x14ac:dyDescent="0.25">
      <c r="B60" s="59"/>
      <c r="C60" s="60"/>
      <c r="E60" s="61"/>
      <c r="G60" s="62"/>
      <c r="H60" s="47"/>
      <c r="I60" s="47"/>
      <c r="J60" s="47"/>
      <c r="K60" s="63"/>
    </row>
    <row r="61" spans="1:12" ht="12" customHeight="1" x14ac:dyDescent="0.25">
      <c r="B61" s="59"/>
      <c r="C61" s="60"/>
      <c r="E61" s="61"/>
      <c r="G61" s="62"/>
      <c r="H61" s="47"/>
      <c r="I61" s="47"/>
      <c r="J61" s="47"/>
      <c r="K61" s="63"/>
    </row>
  </sheetData>
  <mergeCells count="19">
    <mergeCell ref="A49:A51"/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B55:D55"/>
    <mergeCell ref="B56:D56"/>
    <mergeCell ref="B58:D58"/>
    <mergeCell ref="B57:D57"/>
    <mergeCell ref="F6:G6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8" sqref="D28"/>
    </sheetView>
  </sheetViews>
  <sheetFormatPr defaultRowHeight="12.75" x14ac:dyDescent="0.2"/>
  <cols>
    <col min="1" max="1" width="9.5703125" customWidth="1"/>
    <col min="2" max="2" width="15.5703125" customWidth="1"/>
  </cols>
  <sheetData>
    <row r="1" spans="1:6" ht="13.5" customHeight="1" x14ac:dyDescent="0.2">
      <c r="A1" s="138" t="s">
        <v>69</v>
      </c>
      <c r="B1" s="139"/>
    </row>
    <row r="2" spans="1:6" ht="13.5" customHeight="1" x14ac:dyDescent="0.2">
      <c r="A2" s="112"/>
      <c r="B2" s="140"/>
    </row>
    <row r="3" spans="1:6" ht="12.75" customHeight="1" x14ac:dyDescent="0.2">
      <c r="A3" s="114"/>
      <c r="B3" s="141"/>
    </row>
    <row r="4" spans="1:6" ht="12.75" customHeight="1" x14ac:dyDescent="0.2">
      <c r="A4" s="74" t="s">
        <v>67</v>
      </c>
      <c r="B4" s="74" t="s">
        <v>70</v>
      </c>
    </row>
    <row r="5" spans="1:6" ht="12.75" customHeight="1" x14ac:dyDescent="0.2">
      <c r="A5" s="73">
        <v>1</v>
      </c>
      <c r="B5" s="73">
        <f ca="1">SUMIF(Funções!$P$8:$P$292, "=1",Funções!$O$8:$O$241)</f>
        <v>0</v>
      </c>
    </row>
    <row r="6" spans="1:6" x14ac:dyDescent="0.2">
      <c r="A6" s="73">
        <v>2</v>
      </c>
      <c r="B6" s="73">
        <f ca="1">SUMIF(Funções!$P$8:$P$292, "=2",Funções!$O$8:$O$241)</f>
        <v>0</v>
      </c>
    </row>
    <row r="7" spans="1:6" x14ac:dyDescent="0.2">
      <c r="A7" s="73">
        <v>3</v>
      </c>
      <c r="B7" s="73">
        <f ca="1">SUMIF(Funções!$P$8:$P$292, "=3",Funções!$O$8:$O$241)</f>
        <v>0</v>
      </c>
      <c r="E7" s="75"/>
    </row>
    <row r="8" spans="1:6" x14ac:dyDescent="0.2">
      <c r="A8" s="73">
        <v>4</v>
      </c>
      <c r="B8" s="73">
        <f ca="1">SUMIF(Funções!$P$8:$P$292, "=4",Funções!$O$8:$O$241)</f>
        <v>0</v>
      </c>
      <c r="F8" s="75"/>
    </row>
    <row r="9" spans="1:6" x14ac:dyDescent="0.2">
      <c r="A9" s="73">
        <v>5</v>
      </c>
      <c r="B9" s="73">
        <f ca="1">SUMIF(Funções!$P$8:$P$292, "=5",Funções!$O$8:$O$241)</f>
        <v>0</v>
      </c>
    </row>
    <row r="10" spans="1:6" x14ac:dyDescent="0.2">
      <c r="A10" s="73">
        <v>6</v>
      </c>
      <c r="B10" s="73">
        <f ca="1">SUMIF(Funções!$P$8:$P$292, "=6",Funções!$O$8:$O$241)</f>
        <v>0</v>
      </c>
    </row>
    <row r="11" spans="1:6" x14ac:dyDescent="0.2">
      <c r="A11" s="73">
        <v>7</v>
      </c>
      <c r="B11" s="73">
        <f ca="1">SUMIF(Funções!$P$8:$P$292, "=7",Funções!$O$8:$O$241)</f>
        <v>0</v>
      </c>
      <c r="F11" s="75"/>
    </row>
    <row r="12" spans="1:6" x14ac:dyDescent="0.2">
      <c r="A12" s="73">
        <v>8</v>
      </c>
      <c r="B12" s="73">
        <f ca="1">SUMIF(Funções!$P$8:$P$292, "=8",Funções!$O$8:$O$241)</f>
        <v>0</v>
      </c>
    </row>
    <row r="13" spans="1:6" x14ac:dyDescent="0.2">
      <c r="A13" s="73">
        <v>9</v>
      </c>
      <c r="B13" s="73">
        <f ca="1">SUMIF(Funções!$P$8:$P$292, "=9",Funções!$O$8:$O$241)</f>
        <v>0</v>
      </c>
    </row>
    <row r="14" spans="1:6" x14ac:dyDescent="0.2">
      <c r="A14" s="73">
        <v>10</v>
      </c>
      <c r="B14" s="73">
        <f ca="1">SUMIF(Funções!$P$8:$P$292, "=10",Funções!$O$8:$O$241)</f>
        <v>0</v>
      </c>
    </row>
    <row r="15" spans="1:6" x14ac:dyDescent="0.2">
      <c r="A15" s="73">
        <v>11</v>
      </c>
      <c r="B15" s="73">
        <f ca="1">SUMIF(Funções!$P$8:$P$292, "=11",Funções!$O$8:$O$241)</f>
        <v>0</v>
      </c>
    </row>
    <row r="16" spans="1:6" x14ac:dyDescent="0.2">
      <c r="A16" s="73">
        <v>12</v>
      </c>
      <c r="B16" s="73">
        <f ca="1">SUMIF(Funções!$P$8:$P$292, "=12",Funções!$O$8:$O$241)</f>
        <v>0</v>
      </c>
    </row>
    <row r="17" spans="1:2" x14ac:dyDescent="0.2">
      <c r="A17" s="73">
        <v>13</v>
      </c>
      <c r="B17" s="73">
        <f ca="1">SUMIF(Funções!$P$8:$P$292, "=13",Funções!$O$8:$O$241)</f>
        <v>0</v>
      </c>
    </row>
    <row r="18" spans="1:2" x14ac:dyDescent="0.2">
      <c r="A18" s="73">
        <v>14</v>
      </c>
      <c r="B18" s="73">
        <f ca="1">SUMIF(Funções!$P$8:$P$292, "=14",Funções!$O$8:$O$241)</f>
        <v>0</v>
      </c>
    </row>
    <row r="19" spans="1:2" x14ac:dyDescent="0.2">
      <c r="A19" s="73">
        <v>15</v>
      </c>
      <c r="B19" s="73">
        <f ca="1">SUMIF(Funções!$P$8:$P$292, "=15",Funções!$O$8:$O$241)</f>
        <v>0</v>
      </c>
    </row>
  </sheetData>
  <mergeCells count="1">
    <mergeCell ref="A1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PFs por Sprint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André</cp:lastModifiedBy>
  <cp:revision>1</cp:revision>
  <cp:lastPrinted>2013-03-25T14:20:05Z</cp:lastPrinted>
  <dcterms:created xsi:type="dcterms:W3CDTF">2001-07-23T10:50:56Z</dcterms:created>
  <dcterms:modified xsi:type="dcterms:W3CDTF">2017-04-17T11:20:28Z</dcterms:modified>
</cp:coreProperties>
</file>