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itHub\KeyboardSteer\Documents\"/>
    </mc:Choice>
  </mc:AlternateContent>
  <xr:revisionPtr revIDLastSave="0" documentId="13_ncr:1_{4EA08964-9EEA-47C2-9BD0-2763C5B4B73C}" xr6:coauthVersionLast="36" xr6:coauthVersionMax="36" xr10:uidLastSave="{00000000-0000-0000-0000-000000000000}"/>
  <bookViews>
    <workbookView xWindow="9000" yWindow="0" windowWidth="27000" windowHeight="12810" activeTab="3" xr2:uid="{3E53583D-6E83-41D0-94AB-27C9FCC3AB4D}"/>
  </bookViews>
  <sheets>
    <sheet name="4x4 42 kmh" sheetId="4" r:id="rId1"/>
    <sheet name="4x4 58 kmh" sheetId="1" r:id="rId2"/>
    <sheet name="2x6 120 kmh" sheetId="3" r:id="rId3"/>
    <sheet name="Shifter 120 kmh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1" i="5" l="1"/>
  <c r="O11" i="5" s="1"/>
  <c r="M11" i="5"/>
  <c r="J11" i="5"/>
  <c r="N10" i="5"/>
  <c r="O10" i="5" s="1"/>
  <c r="J10" i="5"/>
  <c r="M10" i="5" s="1"/>
  <c r="O9" i="5"/>
  <c r="N9" i="5"/>
  <c r="J9" i="5"/>
  <c r="M9" i="5" s="1"/>
  <c r="N8" i="5"/>
  <c r="O8" i="5" s="1"/>
  <c r="J8" i="5"/>
  <c r="M8" i="5" s="1"/>
  <c r="N7" i="5"/>
  <c r="O7" i="5" s="1"/>
  <c r="M7" i="5"/>
  <c r="J7" i="5"/>
  <c r="O6" i="5"/>
  <c r="N6" i="5"/>
  <c r="J6" i="5"/>
  <c r="M6" i="5" s="1"/>
  <c r="Q2" i="5"/>
  <c r="P2" i="5"/>
  <c r="L2" i="5"/>
  <c r="B2" i="5" s="1"/>
  <c r="H2" i="5" l="1"/>
  <c r="G2" i="5"/>
  <c r="B3" i="5"/>
  <c r="F2" i="5"/>
  <c r="E2" i="5"/>
  <c r="D2" i="5"/>
  <c r="N2" i="5"/>
  <c r="C2" i="5" s="1"/>
  <c r="J7" i="3"/>
  <c r="J8" i="3"/>
  <c r="J9" i="3"/>
  <c r="J10" i="3"/>
  <c r="N2" i="3" s="1"/>
  <c r="J11" i="3"/>
  <c r="J6" i="3"/>
  <c r="N8" i="3"/>
  <c r="O8" i="3" s="1"/>
  <c r="N9" i="3"/>
  <c r="O9" i="3" s="1"/>
  <c r="N10" i="3"/>
  <c r="O10" i="3" s="1"/>
  <c r="N11" i="3"/>
  <c r="O11" i="3" s="1"/>
  <c r="L2" i="3"/>
  <c r="L2" i="1"/>
  <c r="L2" i="4"/>
  <c r="B2" i="4" s="1"/>
  <c r="D2" i="4" s="1"/>
  <c r="M11" i="4"/>
  <c r="L11" i="4"/>
  <c r="N11" i="4" s="1"/>
  <c r="O11" i="4" s="1"/>
  <c r="M10" i="4"/>
  <c r="L10" i="4"/>
  <c r="N10" i="4" s="1"/>
  <c r="O10" i="4" s="1"/>
  <c r="M9" i="4"/>
  <c r="L9" i="4"/>
  <c r="N9" i="4" s="1"/>
  <c r="O9" i="4" s="1"/>
  <c r="M8" i="4"/>
  <c r="L8" i="4"/>
  <c r="N8" i="4" s="1"/>
  <c r="O8" i="4" s="1"/>
  <c r="M7" i="4"/>
  <c r="L7" i="4"/>
  <c r="N7" i="4" s="1"/>
  <c r="O7" i="4" s="1"/>
  <c r="M6" i="4"/>
  <c r="L6" i="4"/>
  <c r="N6" i="4" s="1"/>
  <c r="O6" i="4" s="1"/>
  <c r="Q2" i="4"/>
  <c r="N2" i="4"/>
  <c r="P2" i="4"/>
  <c r="E3" i="5" l="1"/>
  <c r="C3" i="5"/>
  <c r="D3" i="5"/>
  <c r="B4" i="5"/>
  <c r="G3" i="5"/>
  <c r="H3" i="5"/>
  <c r="F3" i="5"/>
  <c r="C2" i="4"/>
  <c r="B3" i="4"/>
  <c r="F2" i="4"/>
  <c r="E2" i="4"/>
  <c r="G2" i="4"/>
  <c r="H2" i="4"/>
  <c r="N2" i="1"/>
  <c r="M11" i="3"/>
  <c r="M10" i="3"/>
  <c r="M9" i="3"/>
  <c r="M8" i="3"/>
  <c r="M7" i="3"/>
  <c r="N7" i="3"/>
  <c r="O7" i="3" s="1"/>
  <c r="M6" i="3"/>
  <c r="N6" i="3"/>
  <c r="O6" i="3" s="1"/>
  <c r="Q2" i="3"/>
  <c r="P2" i="3"/>
  <c r="B2" i="3"/>
  <c r="P2" i="1"/>
  <c r="Q2" i="1"/>
  <c r="M6" i="1"/>
  <c r="M7" i="1"/>
  <c r="M8" i="1"/>
  <c r="M9" i="1"/>
  <c r="M10" i="1"/>
  <c r="M11" i="1"/>
  <c r="L6" i="1"/>
  <c r="N6" i="1" s="1"/>
  <c r="O6" i="1" s="1"/>
  <c r="L7" i="1"/>
  <c r="N7" i="1" s="1"/>
  <c r="O7" i="1" s="1"/>
  <c r="L8" i="1"/>
  <c r="N8" i="1" s="1"/>
  <c r="O8" i="1" s="1"/>
  <c r="L9" i="1"/>
  <c r="N9" i="1" s="1"/>
  <c r="O9" i="1" s="1"/>
  <c r="L10" i="1"/>
  <c r="N10" i="1" s="1"/>
  <c r="O10" i="1" s="1"/>
  <c r="L11" i="1"/>
  <c r="N11" i="1" s="1"/>
  <c r="O11" i="1" s="1"/>
  <c r="F4" i="5" l="1"/>
  <c r="D4" i="5"/>
  <c r="E4" i="5"/>
  <c r="C4" i="5"/>
  <c r="G4" i="5"/>
  <c r="B5" i="5"/>
  <c r="H4" i="5"/>
  <c r="F2" i="3"/>
  <c r="D2" i="3"/>
  <c r="B4" i="4"/>
  <c r="D3" i="4"/>
  <c r="F3" i="4"/>
  <c r="E2" i="3"/>
  <c r="G2" i="3"/>
  <c r="C2" i="3"/>
  <c r="H2" i="3"/>
  <c r="H3" i="4"/>
  <c r="G3" i="4"/>
  <c r="E3" i="4"/>
  <c r="C3" i="4"/>
  <c r="B3" i="3"/>
  <c r="B2" i="1"/>
  <c r="D2" i="1" s="1"/>
  <c r="G5" i="5" l="1"/>
  <c r="F5" i="5"/>
  <c r="E5" i="5"/>
  <c r="D5" i="5"/>
  <c r="C5" i="5"/>
  <c r="B6" i="5"/>
  <c r="H5" i="5"/>
  <c r="B4" i="3"/>
  <c r="D3" i="3"/>
  <c r="B5" i="4"/>
  <c r="D4" i="4"/>
  <c r="F2" i="1"/>
  <c r="H2" i="1"/>
  <c r="E4" i="3"/>
  <c r="F3" i="3"/>
  <c r="B5" i="3"/>
  <c r="F4" i="3"/>
  <c r="E3" i="3"/>
  <c r="C3" i="3"/>
  <c r="G4" i="3"/>
  <c r="H3" i="3"/>
  <c r="G3" i="3"/>
  <c r="C4" i="3"/>
  <c r="G5" i="3"/>
  <c r="B6" i="3"/>
  <c r="D6" i="3" s="1"/>
  <c r="H5" i="3"/>
  <c r="C2" i="1"/>
  <c r="E2" i="1"/>
  <c r="B3" i="1"/>
  <c r="G2" i="1"/>
  <c r="H6" i="5" l="1"/>
  <c r="F6" i="5"/>
  <c r="E6" i="5"/>
  <c r="G6" i="5"/>
  <c r="B7" i="5"/>
  <c r="D6" i="5"/>
  <c r="C6" i="5"/>
  <c r="B4" i="1"/>
  <c r="D3" i="1"/>
  <c r="E5" i="3"/>
  <c r="D5" i="3"/>
  <c r="H4" i="3"/>
  <c r="D4" i="3"/>
  <c r="B6" i="4"/>
  <c r="D5" i="4"/>
  <c r="C5" i="3"/>
  <c r="F5" i="3"/>
  <c r="F3" i="1"/>
  <c r="C3" i="1"/>
  <c r="H3" i="1"/>
  <c r="F4" i="4"/>
  <c r="E4" i="4"/>
  <c r="C4" i="4"/>
  <c r="G4" i="4"/>
  <c r="H4" i="4"/>
  <c r="H6" i="3"/>
  <c r="G6" i="3"/>
  <c r="C6" i="3"/>
  <c r="F6" i="3"/>
  <c r="E6" i="3"/>
  <c r="B7" i="3"/>
  <c r="D7" i="3" s="1"/>
  <c r="E3" i="1"/>
  <c r="G3" i="1"/>
  <c r="E4" i="1"/>
  <c r="F4" i="1"/>
  <c r="G4" i="1"/>
  <c r="B5" i="1"/>
  <c r="C4" i="1"/>
  <c r="B8" i="5" l="1"/>
  <c r="E7" i="5"/>
  <c r="C7" i="5"/>
  <c r="D7" i="5"/>
  <c r="H7" i="5"/>
  <c r="G7" i="5"/>
  <c r="F7" i="5"/>
  <c r="H5" i="1"/>
  <c r="D5" i="1"/>
  <c r="H4" i="1"/>
  <c r="D4" i="1"/>
  <c r="B7" i="4"/>
  <c r="D6" i="4"/>
  <c r="H5" i="4"/>
  <c r="G5" i="4"/>
  <c r="F5" i="4"/>
  <c r="E5" i="4"/>
  <c r="C5" i="4"/>
  <c r="H7" i="3"/>
  <c r="G7" i="3"/>
  <c r="F7" i="3"/>
  <c r="E7" i="3"/>
  <c r="C7" i="3"/>
  <c r="B8" i="3"/>
  <c r="D8" i="3" s="1"/>
  <c r="E5" i="1"/>
  <c r="F5" i="1"/>
  <c r="G5" i="1"/>
  <c r="B6" i="1"/>
  <c r="D6" i="1" s="1"/>
  <c r="C5" i="1"/>
  <c r="H8" i="5" l="1"/>
  <c r="G8" i="5"/>
  <c r="F8" i="5"/>
  <c r="D8" i="5"/>
  <c r="B9" i="5"/>
  <c r="E8" i="5"/>
  <c r="C8" i="5"/>
  <c r="B8" i="4"/>
  <c r="D7" i="4"/>
  <c r="H6" i="1"/>
  <c r="G6" i="1"/>
  <c r="H6" i="4"/>
  <c r="G6" i="4"/>
  <c r="F6" i="4"/>
  <c r="E6" i="4"/>
  <c r="C6" i="4"/>
  <c r="H8" i="3"/>
  <c r="G8" i="3"/>
  <c r="F8" i="3"/>
  <c r="E8" i="3"/>
  <c r="C8" i="3"/>
  <c r="B9" i="3"/>
  <c r="D9" i="3" s="1"/>
  <c r="E6" i="1"/>
  <c r="F6" i="1"/>
  <c r="B7" i="1"/>
  <c r="C6" i="1"/>
  <c r="G9" i="5" l="1"/>
  <c r="F9" i="5"/>
  <c r="B10" i="5"/>
  <c r="E9" i="5"/>
  <c r="D9" i="5"/>
  <c r="C9" i="5"/>
  <c r="H9" i="5"/>
  <c r="H7" i="1"/>
  <c r="D7" i="1"/>
  <c r="B9" i="4"/>
  <c r="D8" i="4"/>
  <c r="H7" i="4"/>
  <c r="G7" i="4"/>
  <c r="F7" i="4"/>
  <c r="E7" i="4"/>
  <c r="C7" i="4"/>
  <c r="H9" i="3"/>
  <c r="G9" i="3"/>
  <c r="F9" i="3"/>
  <c r="E9" i="3"/>
  <c r="C9" i="3"/>
  <c r="B10" i="3"/>
  <c r="D10" i="3" s="1"/>
  <c r="G7" i="1"/>
  <c r="E7" i="1"/>
  <c r="F7" i="1"/>
  <c r="B8" i="1"/>
  <c r="C7" i="1"/>
  <c r="D10" i="5" l="1"/>
  <c r="C10" i="5"/>
  <c r="H10" i="5"/>
  <c r="B11" i="5"/>
  <c r="E10" i="5"/>
  <c r="G10" i="5"/>
  <c r="F10" i="5"/>
  <c r="H8" i="1"/>
  <c r="D8" i="1"/>
  <c r="B10" i="4"/>
  <c r="D9" i="4"/>
  <c r="H8" i="4"/>
  <c r="G8" i="4"/>
  <c r="F8" i="4"/>
  <c r="E8" i="4"/>
  <c r="C8" i="4"/>
  <c r="H10" i="3"/>
  <c r="G10" i="3"/>
  <c r="F10" i="3"/>
  <c r="E10" i="3"/>
  <c r="C10" i="3"/>
  <c r="B11" i="3"/>
  <c r="D11" i="3" s="1"/>
  <c r="G8" i="1"/>
  <c r="F8" i="1"/>
  <c r="E8" i="1"/>
  <c r="B9" i="1"/>
  <c r="C8" i="1"/>
  <c r="F11" i="5" l="1"/>
  <c r="H11" i="5"/>
  <c r="G11" i="5"/>
  <c r="B12" i="5"/>
  <c r="E11" i="5"/>
  <c r="D11" i="5"/>
  <c r="C11" i="5"/>
  <c r="H9" i="1"/>
  <c r="D9" i="1"/>
  <c r="B11" i="4"/>
  <c r="D10" i="4"/>
  <c r="H9" i="4"/>
  <c r="G9" i="4"/>
  <c r="F9" i="4"/>
  <c r="E9" i="4"/>
  <c r="C9" i="4"/>
  <c r="H11" i="3"/>
  <c r="G11" i="3"/>
  <c r="F11" i="3"/>
  <c r="E11" i="3"/>
  <c r="C11" i="3"/>
  <c r="B12" i="3"/>
  <c r="G9" i="1"/>
  <c r="E9" i="1"/>
  <c r="F9" i="1"/>
  <c r="B10" i="1"/>
  <c r="C9" i="1"/>
  <c r="F12" i="5" l="1"/>
  <c r="D12" i="5"/>
  <c r="E12" i="5"/>
  <c r="C12" i="5"/>
  <c r="G12" i="5"/>
  <c r="B13" i="5"/>
  <c r="H12" i="5"/>
  <c r="B13" i="3"/>
  <c r="D13" i="3" s="1"/>
  <c r="D12" i="3"/>
  <c r="H10" i="1"/>
  <c r="D10" i="1"/>
  <c r="B12" i="4"/>
  <c r="D11" i="4"/>
  <c r="H10" i="4"/>
  <c r="G10" i="4"/>
  <c r="F10" i="4"/>
  <c r="E10" i="4"/>
  <c r="C10" i="4"/>
  <c r="H12" i="3"/>
  <c r="G12" i="3"/>
  <c r="F12" i="3"/>
  <c r="E12" i="3"/>
  <c r="C12" i="3"/>
  <c r="F10" i="1"/>
  <c r="E10" i="1"/>
  <c r="G10" i="1"/>
  <c r="B11" i="1"/>
  <c r="C10" i="1"/>
  <c r="G13" i="5" l="1"/>
  <c r="D13" i="5"/>
  <c r="F13" i="5"/>
  <c r="E13" i="5"/>
  <c r="C13" i="5"/>
  <c r="H13" i="5"/>
  <c r="H11" i="1"/>
  <c r="D11" i="1"/>
  <c r="H13" i="3"/>
  <c r="F13" i="3"/>
  <c r="E13" i="3"/>
  <c r="G13" i="3"/>
  <c r="C13" i="3"/>
  <c r="B13" i="4"/>
  <c r="D13" i="4" s="1"/>
  <c r="D12" i="4"/>
  <c r="C12" i="4"/>
  <c r="G12" i="4"/>
  <c r="H12" i="4"/>
  <c r="E12" i="4"/>
  <c r="F12" i="4"/>
  <c r="H11" i="4"/>
  <c r="G11" i="4"/>
  <c r="F11" i="4"/>
  <c r="E11" i="4"/>
  <c r="C11" i="4"/>
  <c r="G11" i="1"/>
  <c r="F11" i="1"/>
  <c r="E11" i="1"/>
  <c r="B12" i="1"/>
  <c r="D12" i="1" s="1"/>
  <c r="C11" i="1"/>
  <c r="B13" i="1" l="1"/>
  <c r="D13" i="1" s="1"/>
  <c r="H12" i="1"/>
  <c r="C13" i="4"/>
  <c r="E13" i="4"/>
  <c r="F13" i="4"/>
  <c r="G13" i="4"/>
  <c r="H13" i="4"/>
  <c r="F12" i="1"/>
  <c r="G12" i="1"/>
  <c r="E12" i="1"/>
  <c r="C12" i="1"/>
  <c r="E13" i="1" l="1"/>
  <c r="C13" i="1"/>
  <c r="F13" i="1"/>
  <c r="G13" i="1"/>
  <c r="H13" i="1"/>
</calcChain>
</file>

<file path=xl/sharedStrings.xml><?xml version="1.0" encoding="utf-8"?>
<sst xmlns="http://schemas.openxmlformats.org/spreadsheetml/2006/main" count="140" uniqueCount="53">
  <si>
    <t>gear</t>
  </si>
  <si>
    <t>speed</t>
  </si>
  <si>
    <t>ratio</t>
  </si>
  <si>
    <t>S1</t>
  </si>
  <si>
    <t>S2</t>
  </si>
  <si>
    <t>S3</t>
  </si>
  <si>
    <t>M3</t>
  </si>
  <si>
    <t>L3</t>
  </si>
  <si>
    <t>L4</t>
  </si>
  <si>
    <t>L5</t>
  </si>
  <si>
    <t>maxSpeed</t>
  </si>
  <si>
    <t>minSpeed</t>
  </si>
  <si>
    <t>gears</t>
  </si>
  <si>
    <t>maxPower</t>
  </si>
  <si>
    <t>ratedRpm</t>
  </si>
  <si>
    <t>normRpm</t>
  </si>
  <si>
    <t>RPM</t>
  </si>
  <si>
    <t>torque</t>
  </si>
  <si>
    <t>power</t>
  </si>
  <si>
    <t>10 km/h</t>
  </si>
  <si>
    <t>15 km/h</t>
  </si>
  <si>
    <t>25 km/h</t>
  </si>
  <si>
    <t>Column1</t>
  </si>
  <si>
    <t>ptoRpm</t>
  </si>
  <si>
    <t>42 km/h</t>
  </si>
  <si>
    <t>L1</t>
  </si>
  <si>
    <t>L2</t>
  </si>
  <si>
    <t>L6</t>
  </si>
  <si>
    <t>S4</t>
  </si>
  <si>
    <t>S5</t>
  </si>
  <si>
    <t>S6</t>
  </si>
  <si>
    <t>M4 / H1</t>
  </si>
  <si>
    <t>H2</t>
  </si>
  <si>
    <t>H3</t>
  </si>
  <si>
    <t>H4 / S1</t>
  </si>
  <si>
    <t>L3 / M1</t>
  </si>
  <si>
    <t>L4 / M2</t>
  </si>
  <si>
    <t>torqueScale</t>
  </si>
  <si>
    <t>kW</t>
  </si>
  <si>
    <t>PS</t>
  </si>
  <si>
    <t>idleSpeed</t>
  </si>
  <si>
    <t>2-</t>
  </si>
  <si>
    <t>2+</t>
  </si>
  <si>
    <t>3-</t>
  </si>
  <si>
    <t>3+</t>
  </si>
  <si>
    <t>4-</t>
  </si>
  <si>
    <t>4+</t>
  </si>
  <si>
    <t>5-</t>
  </si>
  <si>
    <t>5+</t>
  </si>
  <si>
    <t>6-</t>
  </si>
  <si>
    <t>6+</t>
  </si>
  <si>
    <t>1- / R-</t>
  </si>
  <si>
    <t>1+ / 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</si>
</sst>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1" fontId="0" fillId="0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5">
    <dxf>
      <numFmt numFmtId="1" formatCode="0"/>
    </dxf>
    <dxf>
      <numFmt numFmtId="1" formatCode="0"/>
    </dxf>
    <dxf>
      <numFmt numFmtId="164" formatCode="0.000"/>
    </dxf>
    <dxf>
      <numFmt numFmtId="0" formatCode="General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</dxf>
    <dxf>
      <numFmt numFmtId="165" formatCode="0.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64" formatCode="0.000"/>
    </dxf>
    <dxf>
      <numFmt numFmtId="0" formatCode="General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</dxf>
    <dxf>
      <numFmt numFmtId="165" formatCode="0.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64" formatCode="0.000"/>
    </dxf>
    <dxf>
      <numFmt numFmtId="0" formatCode="General"/>
    </dxf>
    <dxf>
      <numFmt numFmtId="3" formatCode="#,##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</dxf>
    <dxf>
      <numFmt numFmtId="165" formatCode="0.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64" formatCode="0.00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5" formatCode="0.0"/>
      <fill>
        <patternFill patternType="none">
          <fgColor indexed="64"/>
          <bgColor indexed="65"/>
        </patternFill>
      </fill>
    </dxf>
    <dxf>
      <numFmt numFmtId="165" formatCode="0.0"/>
    </dxf>
    <dxf>
      <numFmt numFmtId="165" formatCode="0.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673CA5-2F30-4E51-9F70-30805E436722}" name="Table15" displayName="Table15" ref="A1:H13" totalsRowShown="0" headerRowCellStyle="Normal" dataCellStyle="Normal">
  <autoFilter ref="A1:H13" xr:uid="{54E20DC8-9795-434B-BCD6-CEDEC7019710}"/>
  <tableColumns count="8">
    <tableColumn id="1" xr3:uid="{A411D802-D4B3-4897-9DD9-30858846DF04}" name="gear" dataCellStyle="Normal"/>
    <tableColumn id="2" xr3:uid="{DB281E69-B53A-4909-81F8-FE01FF0D1CD2}" name="speed" dataDxfId="52" dataCellStyle="Normal">
      <calculatedColumnFormula>B1*Table29[ratio]</calculatedColumnFormula>
    </tableColumn>
    <tableColumn id="3" xr3:uid="{1DE0998A-557B-483C-AE2A-41635A804407}" name="maxPower" dataDxfId="51" dataCellStyle="Normal">
      <calculatedColumnFormula>Table15[[#This Row],[speed]]*Table29[maxPower]/Table29[ratedRpm]</calculatedColumnFormula>
    </tableColumn>
    <tableColumn id="8" xr3:uid="{B71814C3-E6B2-433F-B849-D5CC04728066}" name="idleSpeed" dataDxfId="50">
      <calculatedColumnFormula>850*Table15[[#This Row],[speed]]/Table29[ratedRpm]</calculatedColumnFormula>
    </tableColumn>
    <tableColumn id="4" xr3:uid="{66069F31-E4C8-4BAD-9A9A-7B8C33A0EBE5}" name="10 km/h" dataDxfId="49" dataCellStyle="Normal">
      <calculatedColumnFormula>Table29[ratedRpm]*10/Table15[[#This Row],[speed]]</calculatedColumnFormula>
    </tableColumn>
    <tableColumn id="5" xr3:uid="{9EC4389A-3665-4E29-88DB-C61CA399A740}" name="15 km/h" dataDxfId="48" dataCellStyle="Normal">
      <calculatedColumnFormula>Table29[ratedRpm]*15/Table15[[#This Row],[speed]]</calculatedColumnFormula>
    </tableColumn>
    <tableColumn id="6" xr3:uid="{41C4EC77-4F67-4FBA-9FDA-EE0245932503}" name="25 km/h" dataDxfId="47" dataCellStyle="Normal">
      <calculatedColumnFormula>Table29[ratedRpm]*25/Table15[[#This Row],[speed]]</calculatedColumnFormula>
    </tableColumn>
    <tableColumn id="7" xr3:uid="{06F03096-AA3F-40A0-B2FE-A48572708D4B}" name="42 km/h" dataDxfId="46" dataCellStyle="Normal">
      <calculatedColumnFormula>Table29[ratedRpm]*42/Table15[[#This Row],[speed]]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920F21-C946-4F43-BE62-82B683546A3D}" name="Table1611" displayName="Table1611" ref="A1:H13" totalsRowShown="0" headerRowCellStyle="Normal" dataCellStyle="Normal">
  <autoFilter ref="A1:H13" xr:uid="{54E20DC8-9795-434B-BCD6-CEDEC7019710}"/>
  <tableColumns count="8">
    <tableColumn id="1" xr3:uid="{E04A022D-05A8-4B41-BBB9-9F1875A80B24}" name="gear" dataCellStyle="Normal"/>
    <tableColumn id="2" xr3:uid="{75987E14-E415-4198-924C-9993E05CCBD0}" name="speed" dataDxfId="11" dataCellStyle="Normal">
      <calculatedColumnFormula>B1*Table2712[ratio]</calculatedColumnFormula>
    </tableColumn>
    <tableColumn id="3" xr3:uid="{9AC23574-E939-4CA0-ABEF-E40988661CF2}" name="maxPower" dataDxfId="10" dataCellStyle="Normal">
      <calculatedColumnFormula>Table1611[[#This Row],[speed]]*Table2712[maxPower]/Table2712[ratedRpm]</calculatedColumnFormula>
    </tableColumn>
    <tableColumn id="8" xr3:uid="{1858AA3E-80DD-4C53-8209-B42EF583CA32}" name="idleSpeed" dataDxfId="9">
      <calculatedColumnFormula>850*Table1611[[#This Row],[speed]]/Table2712[ratedRpm]</calculatedColumnFormula>
    </tableColumn>
    <tableColumn id="4" xr3:uid="{6290788B-2684-40CC-ACE1-5C4253F144B0}" name="10 km/h" dataDxfId="8" dataCellStyle="Normal">
      <calculatedColumnFormula>Table2712[ratedRpm]*10/Table1611[[#This Row],[speed]]</calculatedColumnFormula>
    </tableColumn>
    <tableColumn id="5" xr3:uid="{34F05CF5-D066-41AE-AAE5-198C1BE744D6}" name="15 km/h" dataDxfId="7" dataCellStyle="Normal">
      <calculatedColumnFormula>Table2712[ratedRpm]*15/Table1611[[#This Row],[speed]]</calculatedColumnFormula>
    </tableColumn>
    <tableColumn id="6" xr3:uid="{ABD6092A-A7FD-493A-956C-DC32D9056BB4}" name="25 km/h" dataDxfId="6" dataCellStyle="Normal">
      <calculatedColumnFormula>Table2712[ratedRpm]*25/Table1611[[#This Row],[speed]]</calculatedColumnFormula>
    </tableColumn>
    <tableColumn id="7" xr3:uid="{62B7208E-71C7-41EC-A816-81C80E9FB19C}" name="42 km/h" dataDxfId="5" dataCellStyle="Normal">
      <calculatedColumnFormula>Table2712[ratedRpm]*42/Table1611[[#This Row],[speed]]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2F6E94-A4D5-4EE7-A15F-FE3913259709}" name="Table2712" displayName="Table2712" ref="J1:R2" totalsRowShown="0">
  <autoFilter ref="J1:R2" xr:uid="{E1F636C5-3C27-4C67-A456-36318F0E48C9}"/>
  <tableColumns count="9">
    <tableColumn id="1" xr3:uid="{18C37356-608D-4217-8BCB-3768A58FB387}" name="ratio"/>
    <tableColumn id="2" xr3:uid="{011D3924-B58F-4AB9-9D55-9C12D5316A39}" name="maxSpeed"/>
    <tableColumn id="3" xr3:uid="{84256936-7A2A-4616-9CF6-895FDDD0C6FB}" name="minSpeed">
      <calculatedColumnFormula>Table2712[maxSpeed]/POWER(Table2712[ratio],Table2712[gears]-1)</calculatedColumnFormula>
    </tableColumn>
    <tableColumn id="4" xr3:uid="{B44EA826-1F0C-4236-B3AE-C83BAA76F578}" name="gears"/>
    <tableColumn id="5" xr3:uid="{AAAD0A68-C683-41DF-A379-DFB9F4B2A006}" name="maxPower">
      <calculatedColumnFormula>J10*Table2712[ratedRpm]</calculatedColumnFormula>
    </tableColumn>
    <tableColumn id="6" xr3:uid="{99C12E8F-1281-4065-A71D-BF3FD443E2EA}" name="ratedRpm"/>
    <tableColumn id="7" xr3:uid="{24E5E184-8232-4862-99BE-E75902E2A71C}" name="Column1">
      <calculatedColumnFormula>Table2712[ratedRpm]/Table2712[ratio]</calculatedColumnFormula>
    </tableColumn>
    <tableColumn id="8" xr3:uid="{35807A28-2BEF-4CCE-95D8-1B6CEE610610}" name="ptoRpm">
      <calculatedColumnFormula>4*540</calculatedColumnFormula>
    </tableColumn>
    <tableColumn id="9" xr3:uid="{2364AB39-0C41-4BD3-85F5-DF25186735DC}" name="torqueScale" dataDxfId="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EA4252A-B181-4527-8C22-916B153187FF}" name="Table3813" displayName="Table3813" ref="J5:O11" totalsRowShown="0">
  <autoFilter ref="J5:O11" xr:uid="{3CC99175-9B1B-4AA7-9ACE-26F885D440EC}"/>
  <tableColumns count="6">
    <tableColumn id="1" xr3:uid="{096F73C8-E140-44E3-ACE5-F26B082F04F1}" name="normRpm">
      <calculatedColumnFormula>Table3813[[#This Row],[RPM]]/Table2712[ratedRpm]</calculatedColumnFormula>
    </tableColumn>
    <tableColumn id="2" xr3:uid="{4DCAA719-2262-4D9C-8209-7D99F9C51673}" name="torque"/>
    <tableColumn id="3" xr3:uid="{2A7F0F39-292D-43EC-9E5E-BA2B90D3E8BF}" name="RPM" dataDxfId="3">
      <calculatedColumnFormula>Table3813[[#This Row],[normRpm]]*Table27[ratedRpm]</calculatedColumnFormula>
    </tableColumn>
    <tableColumn id="4" xr3:uid="{9A2C1CBA-8120-4617-BEC6-4A249B6274A7}" name="power" dataDxfId="2">
      <calculatedColumnFormula>Table3813[[#This Row],[normRpm]]*Table3813[[#This Row],[torque]]/0.72</calculatedColumnFormula>
    </tableColumn>
    <tableColumn id="5" xr3:uid="{0502A152-E4CD-4FB6-8497-D3B8003EFCEA}" name="kW" dataDxfId="1">
      <calculatedColumnFormula>Table3813[[#This Row],[RPM]]*Table3813[[#This Row],[torque]]*Table2712[torqueScale]/9548</calculatedColumnFormula>
    </tableColumn>
    <tableColumn id="6" xr3:uid="{69D4A435-40E9-441B-BC20-8A858CD9FBD7}" name="PS" dataDxfId="0">
      <calculatedColumnFormula>Table3813[[#This Row],[kW]]*1.36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220C42-B4E8-4F96-AF80-30678AE66040}" name="Table29" displayName="Table29" ref="J1:R2" totalsRowShown="0">
  <autoFilter ref="J1:R2" xr:uid="{E1F636C5-3C27-4C67-A456-36318F0E48C9}"/>
  <tableColumns count="9">
    <tableColumn id="1" xr3:uid="{7B384E68-FD86-4CE0-8E3A-602CB2811CD8}" name="ratio"/>
    <tableColumn id="2" xr3:uid="{81CEEC90-3840-40EE-B608-2D0FD6CBFC81}" name="maxSpeed"/>
    <tableColumn id="3" xr3:uid="{88045236-C4C7-492F-BF3C-A9EB897B7134}" name="minSpeed">
      <calculatedColumnFormula>Table29[maxSpeed]/POWER(Table29[ratio],Table29[gears]-1)</calculatedColumnFormula>
    </tableColumn>
    <tableColumn id="4" xr3:uid="{21D2FDD8-8465-4DB5-815D-8404837E42A5}" name="gears"/>
    <tableColumn id="5" xr3:uid="{F25A0FFD-56B9-400C-94D0-CA9FEB977315}" name="maxPower">
      <calculatedColumnFormula>J10*Table29[ratedRpm]</calculatedColumnFormula>
    </tableColumn>
    <tableColumn id="6" xr3:uid="{55104E68-85D3-4807-8E4B-43A483FF5D37}" name="ratedRpm"/>
    <tableColumn id="7" xr3:uid="{E00B40BE-FA83-47CF-A785-FB821A315D87}" name="Column1">
      <calculatedColumnFormula>Table29[ratedRpm]/Table29[ratio]</calculatedColumnFormula>
    </tableColumn>
    <tableColumn id="8" xr3:uid="{374B4552-CA65-4EBA-856E-8A1EEC93C1CE}" name="ptoRpm">
      <calculatedColumnFormula>4*540</calculatedColumnFormula>
    </tableColumn>
    <tableColumn id="9" xr3:uid="{038A0232-165F-45FD-AD4A-E279BC2F4EE8}" name="torqueScal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A0D0CF8-C6A5-44CF-954F-4F54054B0280}" name="Table310" displayName="Table310" ref="J5:O11" totalsRowShown="0">
  <autoFilter ref="J5:O11" xr:uid="{3CC99175-9B1B-4AA7-9ACE-26F885D440EC}"/>
  <tableColumns count="6">
    <tableColumn id="1" xr3:uid="{E8CC7D7F-992C-42DA-BF08-15C845C07A53}" name="normRpm"/>
    <tableColumn id="2" xr3:uid="{7B43EC6B-5EF9-474A-8108-F3915EE086D2}" name="torque"/>
    <tableColumn id="3" xr3:uid="{402F56DD-8F49-4C86-84B1-02B4D6354ED7}" name="RPM" dataDxfId="45">
      <calculatedColumnFormula>Table310[[#This Row],[normRpm]]*Table29[ratedRpm]</calculatedColumnFormula>
    </tableColumn>
    <tableColumn id="4" xr3:uid="{BE242F14-9767-469E-9AEF-3C2096F31069}" name="power" dataDxfId="44">
      <calculatedColumnFormula>Table310[[#This Row],[normRpm]]*Table310[[#This Row],[torque]]/0.72</calculatedColumnFormula>
    </tableColumn>
    <tableColumn id="5" xr3:uid="{61C6A831-FAF8-4E59-97F5-E2719B69E923}" name="kW" dataDxfId="43">
      <calculatedColumnFormula>Table310[[#This Row],[RPM]]*Table310[[#This Row],[torque]]*Table29[torqueScale]/9548</calculatedColumnFormula>
    </tableColumn>
    <tableColumn id="6" xr3:uid="{BAE11CED-B9FC-40D2-9D47-24FFFE4B998A}" name="PS" dataDxfId="42">
      <calculatedColumnFormula>Table310[[#This Row],[kW]]*1.36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B7666A-BF72-4266-9B55-DC99A5338BAE}" name="Table1" displayName="Table1" ref="A1:H13" totalsRowShown="0" headerRowCellStyle="Normal" dataCellStyle="Normal">
  <autoFilter ref="A1:H13" xr:uid="{54E20DC8-9795-434B-BCD6-CEDEC7019710}"/>
  <tableColumns count="8">
    <tableColumn id="1" xr3:uid="{397A696B-210A-43C0-A223-CA56309E9BE9}" name="gear" dataCellStyle="Normal"/>
    <tableColumn id="2" xr3:uid="{231C21B5-27D4-4A04-BCDE-767578D0F245}" name="speed" dataDxfId="39" dataCellStyle="Normal">
      <calculatedColumnFormula>B1*Table2[ratio]</calculatedColumnFormula>
    </tableColumn>
    <tableColumn id="3" xr3:uid="{14D6B97D-4581-4FCD-9546-945F72717359}" name="maxPower" dataDxfId="38" dataCellStyle="Normal">
      <calculatedColumnFormula>Table1[[#This Row],[speed]]*Table2[maxPower]/Table2[ratedRpm]</calculatedColumnFormula>
    </tableColumn>
    <tableColumn id="8" xr3:uid="{8718932A-F067-4E44-B0CA-791F5793D471}" name="idleSpeed" dataDxfId="37">
      <calculatedColumnFormula>850*Table1[[#This Row],[speed]]/Table2[ratedRpm]</calculatedColumnFormula>
    </tableColumn>
    <tableColumn id="4" xr3:uid="{8E49D31E-44F0-43F4-B72E-8DE0E6D376A2}" name="10 km/h" dataDxfId="36" dataCellStyle="Normal">
      <calculatedColumnFormula>Table2[ratedRpm]*10/Table1[[#This Row],[speed]]</calculatedColumnFormula>
    </tableColumn>
    <tableColumn id="5" xr3:uid="{4DE7EA17-0836-4F93-A2E8-70C09B117BEE}" name="15 km/h" dataDxfId="35" dataCellStyle="Normal">
      <calculatedColumnFormula>Table2[ratedRpm]*15/Table1[[#This Row],[speed]]</calculatedColumnFormula>
    </tableColumn>
    <tableColumn id="6" xr3:uid="{25C35523-4656-4DF9-BFEE-76A099FC064D}" name="25 km/h" dataDxfId="34" dataCellStyle="Normal">
      <calculatedColumnFormula>Table2[ratedRpm]*25/Table1[[#This Row],[speed]]</calculatedColumnFormula>
    </tableColumn>
    <tableColumn id="7" xr3:uid="{6D36146C-789F-4419-AC21-DB3B7521BBF5}" name="42 km/h" dataDxfId="33" dataCellStyle="Normal">
      <calculatedColumnFormula>Table2[ratedRpm]*42/Table1[[#This Row],[speed]]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F298A1-88A5-4DB4-91B1-EC1689604513}" name="Table2" displayName="Table2" ref="J1:R2" totalsRowShown="0">
  <autoFilter ref="J1:R2" xr:uid="{E1F636C5-3C27-4C67-A456-36318F0E48C9}"/>
  <tableColumns count="9">
    <tableColumn id="1" xr3:uid="{E0C477B4-79B1-4585-84D2-C88F7883E7D6}" name="ratio"/>
    <tableColumn id="2" xr3:uid="{5D11F850-179E-4854-B28E-D3DBBFBCCFE6}" name="maxSpeed"/>
    <tableColumn id="3" xr3:uid="{90E1178B-63E0-4E7E-B592-A09E3FDBB0C2}" name="minSpeed">
      <calculatedColumnFormula>Table2[maxSpeed]/POWER(Table2[ratio],Table2[gears]-1)</calculatedColumnFormula>
    </tableColumn>
    <tableColumn id="4" xr3:uid="{06EA2BC8-E346-4E11-B405-478B81407663}" name="gears"/>
    <tableColumn id="5" xr3:uid="{CE255186-A7A5-4620-8D67-E3902D9B2E14}" name="maxPower">
      <calculatedColumnFormula>J10*Table2[ratedRpm]</calculatedColumnFormula>
    </tableColumn>
    <tableColumn id="6" xr3:uid="{F0126BCE-B389-4088-8EF0-601712D4AFFB}" name="ratedRpm"/>
    <tableColumn id="7" xr3:uid="{5F9B14EC-D981-4367-9F99-44F98598996F}" name="Column1">
      <calculatedColumnFormula>Table2[ratedRpm]/Table2[ratio]</calculatedColumnFormula>
    </tableColumn>
    <tableColumn id="8" xr3:uid="{C2C9F3A7-D999-4A12-BCF0-799B76C41C03}" name="ptoRpm">
      <calculatedColumnFormula>4*540</calculatedColumnFormula>
    </tableColumn>
    <tableColumn id="10" xr3:uid="{6FE31B4F-E8DF-41B6-BBD3-F66AE82FAFE6}" name="torqueScale" dataDxfId="3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F77297-BA6D-45D0-93C5-8316824203FE}" name="Table3" displayName="Table3" ref="J5:O11" totalsRowShown="0">
  <autoFilter ref="J5:O11" xr:uid="{3CC99175-9B1B-4AA7-9ACE-26F885D440EC}"/>
  <tableColumns count="6">
    <tableColumn id="1" xr3:uid="{C95513B6-4FD5-4FE1-A99B-AE79024F09EA}" name="normRpm"/>
    <tableColumn id="2" xr3:uid="{543E789A-4FA5-413D-8FCD-6BEC9CC34F78}" name="torque"/>
    <tableColumn id="3" xr3:uid="{EC42B4E2-8052-4992-85D8-8E698927DC48}" name="RPM" dataDxfId="31">
      <calculatedColumnFormula>Table3[[#This Row],[normRpm]]*Table2[ratedRpm]</calculatedColumnFormula>
    </tableColumn>
    <tableColumn id="4" xr3:uid="{73865C01-709D-4613-809B-90B2CFA13A68}" name="power" dataDxfId="30">
      <calculatedColumnFormula>Table3[[#This Row],[normRpm]]*Table3[[#This Row],[torque]]/0.72</calculatedColumnFormula>
    </tableColumn>
    <tableColumn id="5" xr3:uid="{F3271956-6AEE-41C8-B7F4-75278D1B9484}" name="kW" dataDxfId="29">
      <calculatedColumnFormula>Table3[[#This Row],[RPM]]*Table3[[#This Row],[torque]]*Table2[torqueScale]/9548</calculatedColumnFormula>
    </tableColumn>
    <tableColumn id="6" xr3:uid="{926A2AC5-D45A-43B4-91BB-D5C1AC1F4EFA}" name="PS" dataDxfId="28">
      <calculatedColumnFormula>Table3[[#This Row],[kW]]*1.36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340A27-8E23-42E8-91E7-D4E3D5317236}" name="Table16" displayName="Table16" ref="A1:H13" totalsRowShown="0" headerRowCellStyle="Normal" dataCellStyle="Normal">
  <autoFilter ref="A1:H13" xr:uid="{54E20DC8-9795-434B-BCD6-CEDEC7019710}"/>
  <tableColumns count="8">
    <tableColumn id="1" xr3:uid="{8A15DD4A-1F74-4247-B53E-B8392D81523F}" name="gear" dataCellStyle="Normal"/>
    <tableColumn id="2" xr3:uid="{D2ECE58D-D2C3-42A1-9AF3-DEFD0420AE13}" name="speed" dataDxfId="25" dataCellStyle="Normal">
      <calculatedColumnFormula>B1*Table27[ratio]</calculatedColumnFormula>
    </tableColumn>
    <tableColumn id="3" xr3:uid="{0E38B1B8-A96D-480B-879F-F88540F1C145}" name="maxPower" dataDxfId="24" dataCellStyle="Normal">
      <calculatedColumnFormula>Table16[[#This Row],[speed]]*Table27[maxPower]/Table27[ratedRpm]</calculatedColumnFormula>
    </tableColumn>
    <tableColumn id="8" xr3:uid="{63A1E28C-6F2A-4CBB-8909-7E944D6BD877}" name="idleSpeed" dataDxfId="23">
      <calculatedColumnFormula>850*Table16[[#This Row],[speed]]/Table27[ratedRpm]</calculatedColumnFormula>
    </tableColumn>
    <tableColumn id="4" xr3:uid="{0BDB01F3-7D32-4F0B-8377-F106F403AADF}" name="10 km/h" dataDxfId="22" dataCellStyle="Normal">
      <calculatedColumnFormula>Table27[ratedRpm]*10/Table16[[#This Row],[speed]]</calculatedColumnFormula>
    </tableColumn>
    <tableColumn id="5" xr3:uid="{F38C481B-238A-470D-854E-6D5276DE9554}" name="15 km/h" dataDxfId="21" dataCellStyle="Normal">
      <calculatedColumnFormula>Table27[ratedRpm]*15/Table16[[#This Row],[speed]]</calculatedColumnFormula>
    </tableColumn>
    <tableColumn id="6" xr3:uid="{07B77801-3EDD-4383-B87A-D652911FF80F}" name="25 km/h" dataDxfId="20" dataCellStyle="Normal">
      <calculatedColumnFormula>Table27[ratedRpm]*25/Table16[[#This Row],[speed]]</calculatedColumnFormula>
    </tableColumn>
    <tableColumn id="7" xr3:uid="{411C3780-45E7-44BA-9025-7D11E8C4FA50}" name="42 km/h" dataDxfId="19" dataCellStyle="Normal">
      <calculatedColumnFormula>Table27[ratedRpm]*42/Table16[[#This Row],[speed]]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6EFCC5-22A3-41B7-A416-EAB76ECAE5B3}" name="Table27" displayName="Table27" ref="J1:R2" totalsRowShown="0">
  <autoFilter ref="J1:R2" xr:uid="{E1F636C5-3C27-4C67-A456-36318F0E48C9}"/>
  <tableColumns count="9">
    <tableColumn id="1" xr3:uid="{8975729B-F7EE-47EF-A708-DD43205327CD}" name="ratio"/>
    <tableColumn id="2" xr3:uid="{E91DB0D8-6BDA-4BA0-89E4-230673566064}" name="maxSpeed"/>
    <tableColumn id="3" xr3:uid="{8FC05CDC-3B16-42B8-9077-7A950187EDC3}" name="minSpeed">
      <calculatedColumnFormula>Table27[maxSpeed]/POWER(Table27[ratio],Table27[gears]-1)</calculatedColumnFormula>
    </tableColumn>
    <tableColumn id="4" xr3:uid="{27D145D0-F525-4BD4-A14D-F8F0026C2BDA}" name="gears"/>
    <tableColumn id="5" xr3:uid="{828CC8AB-585A-4C63-8F32-F87F3EB1EDF3}" name="maxPower">
      <calculatedColumnFormula>J10*Table27[ratedRpm]</calculatedColumnFormula>
    </tableColumn>
    <tableColumn id="6" xr3:uid="{3E9ADC3B-0501-46C2-ABFE-C538F7E80E19}" name="ratedRpm"/>
    <tableColumn id="7" xr3:uid="{49CFF52C-DD1F-41A7-ABE3-333642F7DB53}" name="Column1">
      <calculatedColumnFormula>Table27[ratedRpm]/Table27[ratio]</calculatedColumnFormula>
    </tableColumn>
    <tableColumn id="8" xr3:uid="{F24A46B7-E369-430C-B8AB-5FAC87D0F10F}" name="ptoRpm">
      <calculatedColumnFormula>4*540</calculatedColumnFormula>
    </tableColumn>
    <tableColumn id="9" xr3:uid="{E0490B1C-CB4A-4632-8572-6DFF114CE77D}" name="torqueScale" dataDxfId="18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BCBB8D-FB39-4EB1-BB6A-9E7A616942F1}" name="Table38" displayName="Table38" ref="J5:O11" totalsRowShown="0">
  <autoFilter ref="J5:O11" xr:uid="{3CC99175-9B1B-4AA7-9ACE-26F885D440EC}"/>
  <tableColumns count="6">
    <tableColumn id="1" xr3:uid="{EE3096AF-EF47-4478-B02D-FFE126166B57}" name="normRpm">
      <calculatedColumnFormula>Table38[[#This Row],[RPM]]/Table27[ratedRpm]</calculatedColumnFormula>
    </tableColumn>
    <tableColumn id="2" xr3:uid="{E42C836B-2FD0-4A99-9461-C871F20D2013}" name="torque"/>
    <tableColumn id="3" xr3:uid="{0395C766-64E8-46D7-8A5D-37F55E2372C6}" name="RPM" dataDxfId="17">
      <calculatedColumnFormula>Table38[[#This Row],[normRpm]]*Table27[ratedRpm]</calculatedColumnFormula>
    </tableColumn>
    <tableColumn id="4" xr3:uid="{2C759795-9860-4412-8092-2C54554F7E52}" name="power" dataDxfId="16">
      <calculatedColumnFormula>Table38[[#This Row],[normRpm]]*Table38[[#This Row],[torque]]/0.72</calculatedColumnFormula>
    </tableColumn>
    <tableColumn id="5" xr3:uid="{2AFD82BF-FF38-4BEB-9A1F-4879D5DA022F}" name="kW" dataDxfId="15">
      <calculatedColumnFormula>Table38[[#This Row],[RPM]]*Table38[[#This Row],[torque]]*Table27[torqueScale]/9548</calculatedColumnFormula>
    </tableColumn>
    <tableColumn id="6" xr3:uid="{0EF0691E-6A0A-4AB9-BA45-D38820AE3510}" name="PS" dataDxfId="14">
      <calculatedColumnFormula>Table38[[#This Row],[kW]]*1.36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A3DC-8229-4883-9578-D9DAC42C23BC}">
  <dimension ref="A1:R13"/>
  <sheetViews>
    <sheetView workbookViewId="0">
      <selection activeCell="K2" sqref="K2"/>
    </sheetView>
  </sheetViews>
  <sheetFormatPr defaultRowHeight="15" x14ac:dyDescent="0.25"/>
  <cols>
    <col min="1" max="1" width="7.42578125" bestFit="1" customWidth="1"/>
    <col min="2" max="2" width="8.7109375" bestFit="1" customWidth="1"/>
    <col min="3" max="3" width="12.7109375" bestFit="1" customWidth="1"/>
    <col min="4" max="4" width="12.7109375" customWidth="1"/>
    <col min="5" max="7" width="10.42578125" bestFit="1" customWidth="1"/>
    <col min="8" max="8" width="10.42578125" customWidth="1"/>
    <col min="10" max="10" width="12" bestFit="1" customWidth="1"/>
    <col min="14" max="14" width="12.7109375" bestFit="1" customWidth="1"/>
    <col min="15" max="15" width="12" bestFit="1" customWidth="1"/>
  </cols>
  <sheetData>
    <row r="1" spans="1:18" x14ac:dyDescent="0.25">
      <c r="A1" s="1" t="s">
        <v>0</v>
      </c>
      <c r="B1" s="1" t="s">
        <v>1</v>
      </c>
      <c r="C1" s="1" t="s">
        <v>13</v>
      </c>
      <c r="D1" s="1" t="s">
        <v>40</v>
      </c>
      <c r="E1" s="1" t="s">
        <v>19</v>
      </c>
      <c r="F1" s="1" t="s">
        <v>20</v>
      </c>
      <c r="G1" s="1" t="s">
        <v>21</v>
      </c>
      <c r="H1" s="1" t="s">
        <v>24</v>
      </c>
      <c r="J1" t="s">
        <v>2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22</v>
      </c>
      <c r="Q1" t="s">
        <v>23</v>
      </c>
      <c r="R1" t="s">
        <v>37</v>
      </c>
    </row>
    <row r="2" spans="1:18" x14ac:dyDescent="0.25">
      <c r="A2" s="1" t="s">
        <v>25</v>
      </c>
      <c r="B2" s="4">
        <f>Table29[minSpeed]</f>
        <v>5.0208873885162717</v>
      </c>
      <c r="C2" s="4">
        <f>Table15[[#This Row],[speed]]*Table29[maxPower]/Table29[ratedRpm]</f>
        <v>4.3179631541239942</v>
      </c>
      <c r="D2" s="4">
        <f>850*Table15[[#This Row],[speed]]/Table29[ratedRpm]</f>
        <v>1.9398883091994685</v>
      </c>
      <c r="E2" s="5">
        <f>Table29[ratedRpm]*10/Table15[[#This Row],[speed]]</f>
        <v>4381.6955644769487</v>
      </c>
      <c r="F2" s="5">
        <f>Table29[ratedRpm]*15/Table15[[#This Row],[speed]]</f>
        <v>6572.5433467154235</v>
      </c>
      <c r="G2" s="5">
        <f>Table29[ratedRpm]*25/Table15[[#This Row],[speed]]</f>
        <v>10954.238911192373</v>
      </c>
      <c r="H2" s="5">
        <f>Table29[ratedRpm]*42/Table15[[#This Row],[speed]]</f>
        <v>18403.121370803186</v>
      </c>
      <c r="J2">
        <v>1.2130000000000001</v>
      </c>
      <c r="K2">
        <v>42</v>
      </c>
      <c r="L2">
        <f>Table29[maxSpeed]/POWER(Table29[ratio],Table29[gears]-1)</f>
        <v>5.0208873885162717</v>
      </c>
      <c r="M2">
        <v>12</v>
      </c>
      <c r="N2">
        <f>J10*Table29[ratedRpm]</f>
        <v>1892</v>
      </c>
      <c r="O2">
        <v>2200</v>
      </c>
      <c r="P2">
        <f>Table29[ratedRpm]/Table29[ratio]</f>
        <v>1813.6850783182192</v>
      </c>
      <c r="Q2">
        <f>4*540</f>
        <v>2160</v>
      </c>
      <c r="R2" s="6">
        <v>1183</v>
      </c>
    </row>
    <row r="3" spans="1:18" x14ac:dyDescent="0.25">
      <c r="A3" s="1" t="s">
        <v>26</v>
      </c>
      <c r="B3" s="4">
        <f>B2*Table29[ratio]</f>
        <v>6.0903364022702382</v>
      </c>
      <c r="C3" s="4">
        <f>Table15[[#This Row],[speed]]*Table29[maxPower]/Table29[ratedRpm]</f>
        <v>5.2376893059524052</v>
      </c>
      <c r="D3" s="4">
        <f>850*Table15[[#This Row],[speed]]/Table29[ratedRpm]</f>
        <v>2.3530845190589558</v>
      </c>
      <c r="E3" s="5">
        <f>Table29[ratedRpm]*10/Table15[[#This Row],[speed]]</f>
        <v>3612.2799377386223</v>
      </c>
      <c r="F3" s="5">
        <f>Table29[ratedRpm]*15/Table15[[#This Row],[speed]]</f>
        <v>5418.4199066079336</v>
      </c>
      <c r="G3" s="5">
        <f>Table29[ratedRpm]*25/Table15[[#This Row],[speed]]</f>
        <v>9030.6998443465545</v>
      </c>
      <c r="H3" s="5">
        <f>Table29[ratedRpm]*42/Table15[[#This Row],[speed]]</f>
        <v>15171.575738502213</v>
      </c>
    </row>
    <row r="4" spans="1:18" x14ac:dyDescent="0.25">
      <c r="A4" s="1" t="s">
        <v>35</v>
      </c>
      <c r="B4" s="4">
        <f>B3*Table29[ratio]</f>
        <v>7.3875780559537993</v>
      </c>
      <c r="C4" s="4">
        <f>Table15[[#This Row],[speed]]*Table29[maxPower]/Table29[ratedRpm]</f>
        <v>6.3533171281202669</v>
      </c>
      <c r="D4" s="4">
        <f>850*Table15[[#This Row],[speed]]/Table29[ratedRpm]</f>
        <v>2.8542915216185136</v>
      </c>
      <c r="E4" s="5">
        <f>Table29[ratedRpm]*10/Table15[[#This Row],[speed]]</f>
        <v>2977.9719189930929</v>
      </c>
      <c r="F4" s="5">
        <f>Table29[ratedRpm]*15/Table15[[#This Row],[speed]]</f>
        <v>4466.9578784896394</v>
      </c>
      <c r="G4" s="5">
        <f>Table29[ratedRpm]*25/Table15[[#This Row],[speed]]</f>
        <v>7444.9297974827332</v>
      </c>
      <c r="H4" s="5">
        <f>Table29[ratedRpm]*42/Table15[[#This Row],[speed]]</f>
        <v>12507.482059770991</v>
      </c>
    </row>
    <row r="5" spans="1:18" x14ac:dyDescent="0.25">
      <c r="A5" s="1" t="s">
        <v>36</v>
      </c>
      <c r="B5" s="4">
        <f>B4*Table29[ratio]</f>
        <v>8.9611321818719585</v>
      </c>
      <c r="C5" s="4">
        <f>Table15[[#This Row],[speed]]*Table29[maxPower]/Table29[ratedRpm]</f>
        <v>7.7065736764098851</v>
      </c>
      <c r="D5" s="4">
        <f>850*Table15[[#This Row],[speed]]/Table29[ratedRpm]</f>
        <v>3.4622556157232567</v>
      </c>
      <c r="E5" s="5">
        <f>Table29[ratedRpm]*10/Table15[[#This Row],[speed]]</f>
        <v>2455.0469241492938</v>
      </c>
      <c r="F5" s="5">
        <f>Table29[ratedRpm]*15/Table15[[#This Row],[speed]]</f>
        <v>3682.5703862239402</v>
      </c>
      <c r="G5" s="5">
        <f>Table29[ratedRpm]*25/Table15[[#This Row],[speed]]</f>
        <v>6137.6173103732344</v>
      </c>
      <c r="H5" s="5">
        <f>Table29[ratedRpm]*42/Table15[[#This Row],[speed]]</f>
        <v>10311.197081427033</v>
      </c>
      <c r="J5" t="s">
        <v>15</v>
      </c>
      <c r="K5" t="s">
        <v>17</v>
      </c>
      <c r="L5" t="s">
        <v>16</v>
      </c>
      <c r="M5" t="s">
        <v>18</v>
      </c>
      <c r="N5" t="s">
        <v>38</v>
      </c>
      <c r="O5" t="s">
        <v>39</v>
      </c>
    </row>
    <row r="6" spans="1:18" x14ac:dyDescent="0.25">
      <c r="A6" s="1" t="s">
        <v>6</v>
      </c>
      <c r="B6" s="4">
        <f>B5*Table29[ratio]</f>
        <v>10.869853336610687</v>
      </c>
      <c r="C6" s="4">
        <f>Table15[[#This Row],[speed]]*Table29[maxPower]/Table29[ratedRpm]</f>
        <v>9.3480738694851908</v>
      </c>
      <c r="D6" s="4">
        <f>850*Table15[[#This Row],[speed]]/Table29[ratedRpm]</f>
        <v>4.1997160618723104</v>
      </c>
      <c r="E6" s="5">
        <f>Table29[ratedRpm]*10/Table15[[#This Row],[speed]]</f>
        <v>2023.9463513184612</v>
      </c>
      <c r="F6" s="5">
        <f>Table29[ratedRpm]*15/Table15[[#This Row],[speed]]</f>
        <v>3035.9195269776915</v>
      </c>
      <c r="G6" s="5">
        <f>Table29[ratedRpm]*25/Table15[[#This Row],[speed]]</f>
        <v>5059.8658782961529</v>
      </c>
      <c r="H6" s="5">
        <f>Table29[ratedRpm]*42/Table15[[#This Row],[speed]]</f>
        <v>8500.5746755375367</v>
      </c>
      <c r="J6">
        <v>0.45</v>
      </c>
      <c r="K6">
        <v>0.9</v>
      </c>
      <c r="L6">
        <f>Table310[[#This Row],[normRpm]]*Table29[ratedRpm]</f>
        <v>990</v>
      </c>
      <c r="M6" s="2">
        <f>Table310[[#This Row],[normRpm]]*Table310[[#This Row],[torque]]/0.72</f>
        <v>0.56250000000000011</v>
      </c>
      <c r="N6" s="7">
        <f>Table310[[#This Row],[RPM]]*Table310[[#This Row],[torque]]*Table29[torqueScale]/9548</f>
        <v>110.39516129032258</v>
      </c>
      <c r="O6" s="7">
        <f>Table310[[#This Row],[kW]]*1.36</f>
        <v>150.13741935483873</v>
      </c>
    </row>
    <row r="7" spans="1:18" x14ac:dyDescent="0.25">
      <c r="A7" t="s">
        <v>31</v>
      </c>
      <c r="B7" s="4">
        <f>B6*Table29[ratio]</f>
        <v>13.185132097308765</v>
      </c>
      <c r="C7" s="4">
        <f>Table15[[#This Row],[speed]]*Table29[maxPower]/Table29[ratedRpm]</f>
        <v>11.339213603685538</v>
      </c>
      <c r="D7" s="4">
        <f>850*Table15[[#This Row],[speed]]/Table29[ratedRpm]</f>
        <v>5.0942555830511145</v>
      </c>
      <c r="E7" s="5">
        <f>Table29[ratedRpm]*10/Table15[[#This Row],[speed]]</f>
        <v>1668.5460439558622</v>
      </c>
      <c r="F7" s="5">
        <f>Table29[ratedRpm]*15/Table15[[#This Row],[speed]]</f>
        <v>2502.8190659337934</v>
      </c>
      <c r="G7" s="5">
        <f>Table29[ratedRpm]*25/Table15[[#This Row],[speed]]</f>
        <v>4171.3651098896553</v>
      </c>
      <c r="H7" s="5">
        <f>Table29[ratedRpm]*42/Table15[[#This Row],[speed]]</f>
        <v>7007.893384614621</v>
      </c>
      <c r="J7">
        <v>0.5</v>
      </c>
      <c r="K7">
        <v>0.97</v>
      </c>
      <c r="L7">
        <f>Table310[[#This Row],[normRpm]]*Table29[ratedRpm]</f>
        <v>1100</v>
      </c>
      <c r="M7" s="2">
        <f>Table310[[#This Row],[normRpm]]*Table310[[#This Row],[torque]]/0.72</f>
        <v>0.67361111111111116</v>
      </c>
      <c r="N7" s="7">
        <f>Table310[[#This Row],[RPM]]*Table310[[#This Row],[torque]]*Table29[torqueScale]/9548</f>
        <v>132.20161290322579</v>
      </c>
      <c r="O7" s="7">
        <f>Table310[[#This Row],[kW]]*1.36</f>
        <v>179.79419354838709</v>
      </c>
    </row>
    <row r="8" spans="1:18" x14ac:dyDescent="0.25">
      <c r="A8" t="s">
        <v>32</v>
      </c>
      <c r="B8" s="4">
        <f>B7*Table29[ratio]</f>
        <v>15.993565234035533</v>
      </c>
      <c r="C8" s="4">
        <f>Table15[[#This Row],[speed]]*Table29[maxPower]/Table29[ratedRpm]</f>
        <v>13.754466101270557</v>
      </c>
      <c r="D8" s="4">
        <f>850*Table15[[#This Row],[speed]]/Table29[ratedRpm]</f>
        <v>6.1793320222410015</v>
      </c>
      <c r="E8" s="5">
        <f>Table29[ratedRpm]*10/Table15[[#This Row],[speed]]</f>
        <v>1375.5532101862013</v>
      </c>
      <c r="F8" s="5">
        <f>Table29[ratedRpm]*15/Table15[[#This Row],[speed]]</f>
        <v>2063.3298152793018</v>
      </c>
      <c r="G8" s="5">
        <f>Table29[ratedRpm]*25/Table15[[#This Row],[speed]]</f>
        <v>3438.8830254655031</v>
      </c>
      <c r="H8" s="5">
        <f>Table29[ratedRpm]*42/Table15[[#This Row],[speed]]</f>
        <v>5777.3234827820452</v>
      </c>
      <c r="J8">
        <v>0.59</v>
      </c>
      <c r="K8">
        <v>1</v>
      </c>
      <c r="L8">
        <f>Table310[[#This Row],[normRpm]]*Table29[ratedRpm]</f>
        <v>1298</v>
      </c>
      <c r="M8" s="2">
        <f>Table310[[#This Row],[normRpm]]*Table310[[#This Row],[torque]]/0.72</f>
        <v>0.81944444444444442</v>
      </c>
      <c r="N8" s="7">
        <f>Table310[[#This Row],[RPM]]*Table310[[#This Row],[torque]]*Table29[torqueScale]/9548</f>
        <v>160.82258064516128</v>
      </c>
      <c r="O8" s="7">
        <f>Table310[[#This Row],[kW]]*1.36</f>
        <v>218.71870967741935</v>
      </c>
    </row>
    <row r="9" spans="1:18" x14ac:dyDescent="0.25">
      <c r="A9" t="s">
        <v>33</v>
      </c>
      <c r="B9" s="4">
        <f>B8*Table29[ratio]</f>
        <v>19.400194628885103</v>
      </c>
      <c r="C9" s="4">
        <f>Table15[[#This Row],[speed]]*Table29[maxPower]/Table29[ratedRpm]</f>
        <v>16.684167380841188</v>
      </c>
      <c r="D9" s="4">
        <f>850*Table15[[#This Row],[speed]]/Table29[ratedRpm]</f>
        <v>7.4955297429783361</v>
      </c>
      <c r="E9" s="5">
        <f>Table29[ratedRpm]*10/Table15[[#This Row],[speed]]</f>
        <v>1134.0092417033809</v>
      </c>
      <c r="F9" s="5">
        <f>Table29[ratedRpm]*15/Table15[[#This Row],[speed]]</f>
        <v>1701.0138625550715</v>
      </c>
      <c r="G9" s="5">
        <f>Table29[ratedRpm]*25/Table15[[#This Row],[speed]]</f>
        <v>2835.0231042584523</v>
      </c>
      <c r="H9" s="5">
        <f>Table29[ratedRpm]*42/Table15[[#This Row],[speed]]</f>
        <v>4762.8388151542003</v>
      </c>
      <c r="J9">
        <v>0.72</v>
      </c>
      <c r="K9">
        <v>1</v>
      </c>
      <c r="L9">
        <f>Table310[[#This Row],[normRpm]]*Table29[ratedRpm]</f>
        <v>1584</v>
      </c>
      <c r="M9" s="2">
        <f>Table310[[#This Row],[normRpm]]*Table310[[#This Row],[torque]]/0.72</f>
        <v>1</v>
      </c>
      <c r="N9" s="7">
        <f>Table310[[#This Row],[RPM]]*Table310[[#This Row],[torque]]*Table29[torqueScale]/9548</f>
        <v>196.25806451612902</v>
      </c>
      <c r="O9" s="7">
        <f>Table310[[#This Row],[kW]]*1.36</f>
        <v>266.91096774193551</v>
      </c>
    </row>
    <row r="10" spans="1:18" x14ac:dyDescent="0.25">
      <c r="A10" t="s">
        <v>34</v>
      </c>
      <c r="B10" s="4">
        <f>B9*Table29[ratio]</f>
        <v>23.532436084837631</v>
      </c>
      <c r="C10" s="4">
        <f>Table15[[#This Row],[speed]]*Table29[maxPower]/Table29[ratedRpm]</f>
        <v>20.237895032960363</v>
      </c>
      <c r="D10" s="4">
        <f>850*Table15[[#This Row],[speed]]/Table29[ratedRpm]</f>
        <v>9.0920775782327201</v>
      </c>
      <c r="E10" s="5">
        <f>Table29[ratedRpm]*10/Table15[[#This Row],[speed]]</f>
        <v>934.87983652380944</v>
      </c>
      <c r="F10" s="5">
        <f>Table29[ratedRpm]*15/Table15[[#This Row],[speed]]</f>
        <v>1402.3197547857142</v>
      </c>
      <c r="G10" s="5">
        <f>Table29[ratedRpm]*25/Table15[[#This Row],[speed]]</f>
        <v>2337.1995913095238</v>
      </c>
      <c r="H10" s="5">
        <f>Table29[ratedRpm]*42/Table15[[#This Row],[speed]]</f>
        <v>3926.4953133999998</v>
      </c>
      <c r="J10">
        <v>0.86</v>
      </c>
      <c r="K10">
        <v>0.88</v>
      </c>
      <c r="L10">
        <f>Table310[[#This Row],[normRpm]]*Table29[ratedRpm]</f>
        <v>1892</v>
      </c>
      <c r="M10" s="2">
        <f>Table310[[#This Row],[normRpm]]*Table310[[#This Row],[torque]]/0.72</f>
        <v>1.0511111111111111</v>
      </c>
      <c r="N10" s="7">
        <f>Table310[[#This Row],[RPM]]*Table310[[#This Row],[torque]]*Table29[torqueScale]/9548</f>
        <v>206.28903225806451</v>
      </c>
      <c r="O10" s="7">
        <f>Table310[[#This Row],[kW]]*1.36</f>
        <v>280.55308387096773</v>
      </c>
    </row>
    <row r="11" spans="1:18" x14ac:dyDescent="0.25">
      <c r="A11" t="s">
        <v>4</v>
      </c>
      <c r="B11" s="4">
        <f>B10*Table29[ratio]</f>
        <v>28.544844970908049</v>
      </c>
      <c r="C11" s="4">
        <f>Table15[[#This Row],[speed]]*Table29[maxPower]/Table29[ratedRpm]</f>
        <v>24.548566674980922</v>
      </c>
      <c r="D11" s="4">
        <f>850*Table15[[#This Row],[speed]]/Table29[ratedRpm]</f>
        <v>11.028690102396292</v>
      </c>
      <c r="E11" s="5">
        <f>Table29[ratedRpm]*10/Table15[[#This Row],[speed]]</f>
        <v>770.71709523809511</v>
      </c>
      <c r="F11" s="5">
        <f>Table29[ratedRpm]*15/Table15[[#This Row],[speed]]</f>
        <v>1156.0756428571428</v>
      </c>
      <c r="G11" s="5">
        <f>Table29[ratedRpm]*25/Table15[[#This Row],[speed]]</f>
        <v>1926.7927380952378</v>
      </c>
      <c r="H11" s="5">
        <f>Table29[ratedRpm]*42/Table15[[#This Row],[speed]]</f>
        <v>3237.0117999999998</v>
      </c>
      <c r="J11">
        <v>1</v>
      </c>
      <c r="K11">
        <v>0.72</v>
      </c>
      <c r="L11">
        <f>Table310[[#This Row],[normRpm]]*Table29[ratedRpm]</f>
        <v>2200</v>
      </c>
      <c r="M11" s="2">
        <f>Table310[[#This Row],[normRpm]]*Table310[[#This Row],[torque]]/0.72</f>
        <v>1</v>
      </c>
      <c r="N11" s="7">
        <f>Table310[[#This Row],[RPM]]*Table310[[#This Row],[torque]]*Table29[torqueScale]/9548</f>
        <v>196.25806451612902</v>
      </c>
      <c r="O11" s="7">
        <f>Table310[[#This Row],[kW]]*1.36</f>
        <v>266.91096774193551</v>
      </c>
    </row>
    <row r="12" spans="1:18" x14ac:dyDescent="0.25">
      <c r="A12" s="1" t="s">
        <v>5</v>
      </c>
      <c r="B12" s="4">
        <f>B11*Table29[ratio]</f>
        <v>34.624896949711463</v>
      </c>
      <c r="C12" s="4">
        <f>Table15[[#This Row],[speed]]*Table29[maxPower]/Table29[ratedRpm]</f>
        <v>29.777411376751861</v>
      </c>
      <c r="D12" s="4">
        <f>850*Table15[[#This Row],[speed]]/Table29[ratedRpm]</f>
        <v>13.377801094206701</v>
      </c>
      <c r="E12" s="5">
        <f>Table29[ratedRpm]*10/Table15[[#This Row],[speed]]</f>
        <v>635.38095238095229</v>
      </c>
      <c r="F12" s="5">
        <f>Table29[ratedRpm]*15/Table15[[#This Row],[speed]]</f>
        <v>953.07142857142844</v>
      </c>
      <c r="G12" s="5">
        <f>Table29[ratedRpm]*25/Table15[[#This Row],[speed]]</f>
        <v>1588.4523809523807</v>
      </c>
      <c r="H12" s="5">
        <f>Table29[ratedRpm]*42/Table15[[#This Row],[speed]]</f>
        <v>2668.6</v>
      </c>
    </row>
    <row r="13" spans="1:18" x14ac:dyDescent="0.25">
      <c r="A13" s="1" t="s">
        <v>28</v>
      </c>
      <c r="B13" s="4">
        <f>B12*Table29[ratio]</f>
        <v>42.000000000000007</v>
      </c>
      <c r="C13" s="4">
        <f>Table15[[#This Row],[speed]]*Table29[maxPower]/Table29[ratedRpm]</f>
        <v>36.120000000000005</v>
      </c>
      <c r="D13" s="4">
        <f>850*Table15[[#This Row],[speed]]/Table29[ratedRpm]</f>
        <v>16.22727272727273</v>
      </c>
      <c r="E13" s="5">
        <f>Table29[ratedRpm]*10/Table15[[#This Row],[speed]]</f>
        <v>523.80952380952374</v>
      </c>
      <c r="F13" s="5">
        <f>Table29[ratedRpm]*15/Table15[[#This Row],[speed]]</f>
        <v>785.71428571428555</v>
      </c>
      <c r="G13" s="5">
        <f>Table29[ratedRpm]*25/Table15[[#This Row],[speed]]</f>
        <v>1309.5238095238094</v>
      </c>
      <c r="H13" s="5">
        <f>Table29[ratedRpm]*42/Table15[[#This Row],[speed]]</f>
        <v>2199.9999999999995</v>
      </c>
    </row>
  </sheetData>
  <conditionalFormatting sqref="E2">
    <cfRule type="cellIs" dxfId="54" priority="2" operator="between">
      <formula>$L$9</formula>
      <formula>$L$11</formula>
    </cfRule>
  </conditionalFormatting>
  <conditionalFormatting sqref="E2:H13">
    <cfRule type="cellIs" dxfId="53" priority="1" operator="between">
      <formula>$L$9</formula>
      <formula>$O$2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63E4F-2D49-4565-BA82-1F7A99449BB7}">
  <dimension ref="A1:R13"/>
  <sheetViews>
    <sheetView workbookViewId="0">
      <selection activeCell="J2" sqref="J2"/>
    </sheetView>
  </sheetViews>
  <sheetFormatPr defaultRowHeight="15" x14ac:dyDescent="0.25"/>
  <cols>
    <col min="1" max="1" width="7.42578125" bestFit="1" customWidth="1"/>
    <col min="2" max="2" width="8.7109375" bestFit="1" customWidth="1"/>
    <col min="3" max="3" width="12.7109375" bestFit="1" customWidth="1"/>
    <col min="4" max="4" width="12.7109375" customWidth="1"/>
    <col min="5" max="7" width="10.42578125" bestFit="1" customWidth="1"/>
    <col min="8" max="8" width="10.42578125" customWidth="1"/>
    <col min="10" max="10" width="12" bestFit="1" customWidth="1"/>
  </cols>
  <sheetData>
    <row r="1" spans="1:18" x14ac:dyDescent="0.25">
      <c r="A1" s="1" t="s">
        <v>0</v>
      </c>
      <c r="B1" s="1" t="s">
        <v>1</v>
      </c>
      <c r="C1" s="1" t="s">
        <v>13</v>
      </c>
      <c r="D1" s="1" t="s">
        <v>40</v>
      </c>
      <c r="E1" s="1" t="s">
        <v>19</v>
      </c>
      <c r="F1" s="1" t="s">
        <v>20</v>
      </c>
      <c r="G1" s="1" t="s">
        <v>21</v>
      </c>
      <c r="H1" s="1" t="s">
        <v>24</v>
      </c>
      <c r="J1" t="s">
        <v>2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22</v>
      </c>
      <c r="Q1" t="s">
        <v>23</v>
      </c>
      <c r="R1" t="s">
        <v>37</v>
      </c>
    </row>
    <row r="2" spans="1:18" x14ac:dyDescent="0.25">
      <c r="A2" s="1" t="s">
        <v>25</v>
      </c>
      <c r="B2" s="4">
        <f>Table2[minSpeed]</f>
        <v>6.933606393665328</v>
      </c>
      <c r="C2" s="4">
        <f>Table1[[#This Row],[speed]]*Table2[maxPower]/Table2[ratedRpm]</f>
        <v>5.9629014985521822</v>
      </c>
      <c r="D2" s="4">
        <f>850*Table1[[#This Row],[speed]]/Table2[ratedRpm]</f>
        <v>2.6788933793706948</v>
      </c>
      <c r="E2" s="5">
        <f>Table2[ratedRpm]*10/Table1[[#This Row],[speed]]</f>
        <v>3172.9519604833076</v>
      </c>
      <c r="F2" s="5">
        <f>Table2[ratedRpm]*15/Table1[[#This Row],[speed]]</f>
        <v>4759.4279407249614</v>
      </c>
      <c r="G2" s="5">
        <f>Table2[ratedRpm]*25/Table1[[#This Row],[speed]]</f>
        <v>7932.3799012082691</v>
      </c>
      <c r="H2" s="5">
        <f>Table2[ratedRpm]*42/Table1[[#This Row],[speed]]</f>
        <v>13326.398234029894</v>
      </c>
      <c r="J2">
        <v>1.2130000000000001</v>
      </c>
      <c r="K2">
        <v>58</v>
      </c>
      <c r="L2">
        <f>Table2[maxSpeed]/POWER(Table2[ratio],Table2[gears]-1)</f>
        <v>6.933606393665328</v>
      </c>
      <c r="M2">
        <v>12</v>
      </c>
      <c r="N2">
        <f>J10*Table2[ratedRpm]</f>
        <v>1892</v>
      </c>
      <c r="O2">
        <v>2200</v>
      </c>
      <c r="P2">
        <f>Table2[ratedRpm]/Table2[ratio]</f>
        <v>1813.6850783182192</v>
      </c>
      <c r="Q2">
        <f>4*540</f>
        <v>2160</v>
      </c>
      <c r="R2" s="6">
        <v>382</v>
      </c>
    </row>
    <row r="3" spans="1:18" x14ac:dyDescent="0.25">
      <c r="A3" s="1" t="s">
        <v>26</v>
      </c>
      <c r="B3" s="4">
        <f>B2*Table2[ratio]</f>
        <v>8.4104645555160431</v>
      </c>
      <c r="C3" s="4">
        <f>Table1[[#This Row],[speed]]*Table2[maxPower]/Table2[ratedRpm]</f>
        <v>7.2329995177437976</v>
      </c>
      <c r="D3" s="4">
        <f>850*Table1[[#This Row],[speed]]/Table2[ratedRpm]</f>
        <v>3.2494976691766531</v>
      </c>
      <c r="E3" s="5">
        <f>Table2[ratedRpm]*10/Table1[[#This Row],[speed]]</f>
        <v>2615.788920431416</v>
      </c>
      <c r="F3" s="5">
        <f>Table2[ratedRpm]*15/Table1[[#This Row],[speed]]</f>
        <v>3923.6833806471241</v>
      </c>
      <c r="G3" s="5">
        <f>Table2[ratedRpm]*25/Table1[[#This Row],[speed]]</f>
        <v>6539.4723010785401</v>
      </c>
      <c r="H3" s="5">
        <f>Table2[ratedRpm]*42/Table1[[#This Row],[speed]]</f>
        <v>10986.313465811947</v>
      </c>
    </row>
    <row r="4" spans="1:18" x14ac:dyDescent="0.25">
      <c r="A4" s="1" t="s">
        <v>35</v>
      </c>
      <c r="B4" s="4">
        <f>B3*Table2[ratio]</f>
        <v>10.20189350584096</v>
      </c>
      <c r="C4" s="4">
        <f>Table1[[#This Row],[speed]]*Table2[maxPower]/Table2[ratedRpm]</f>
        <v>8.7736284150232269</v>
      </c>
      <c r="D4" s="4">
        <f>850*Table1[[#This Row],[speed]]/Table2[ratedRpm]</f>
        <v>3.94164067271128</v>
      </c>
      <c r="E4" s="5">
        <f>Table2[ratedRpm]*10/Table1[[#This Row],[speed]]</f>
        <v>2156.4624240984467</v>
      </c>
      <c r="F4" s="5">
        <f>Table2[ratedRpm]*15/Table1[[#This Row],[speed]]</f>
        <v>3234.6936361476705</v>
      </c>
      <c r="G4" s="5">
        <f>Table2[ratedRpm]*25/Table1[[#This Row],[speed]]</f>
        <v>5391.1560602461168</v>
      </c>
      <c r="H4" s="5">
        <f>Table2[ratedRpm]*42/Table1[[#This Row],[speed]]</f>
        <v>9057.1421812134777</v>
      </c>
    </row>
    <row r="5" spans="1:18" x14ac:dyDescent="0.25">
      <c r="A5" s="1" t="s">
        <v>36</v>
      </c>
      <c r="B5" s="4">
        <f>B4*Table2[ratio]</f>
        <v>12.374896822585086</v>
      </c>
      <c r="C5" s="4">
        <f>Table1[[#This Row],[speed]]*Table2[maxPower]/Table2[ratedRpm]</f>
        <v>10.642411267423173</v>
      </c>
      <c r="D5" s="4">
        <f>850*Table1[[#This Row],[speed]]/Table2[ratedRpm]</f>
        <v>4.7812101359987835</v>
      </c>
      <c r="E5" s="5">
        <f>Table2[ratedRpm]*10/Table1[[#This Row],[speed]]</f>
        <v>1777.7926002460401</v>
      </c>
      <c r="F5" s="5">
        <f>Table2[ratedRpm]*15/Table1[[#This Row],[speed]]</f>
        <v>2666.6889003690603</v>
      </c>
      <c r="G5" s="5">
        <f>Table2[ratedRpm]*25/Table1[[#This Row],[speed]]</f>
        <v>4444.4815006151002</v>
      </c>
      <c r="H5" s="5">
        <f>Table2[ratedRpm]*42/Table1[[#This Row],[speed]]</f>
        <v>7466.7289210333684</v>
      </c>
      <c r="J5" t="s">
        <v>15</v>
      </c>
      <c r="K5" t="s">
        <v>17</v>
      </c>
      <c r="L5" t="s">
        <v>16</v>
      </c>
      <c r="M5" t="s">
        <v>18</v>
      </c>
      <c r="N5" t="s">
        <v>38</v>
      </c>
      <c r="O5" t="s">
        <v>39</v>
      </c>
    </row>
    <row r="6" spans="1:18" x14ac:dyDescent="0.25">
      <c r="A6" s="1" t="s">
        <v>6</v>
      </c>
      <c r="B6" s="4">
        <f>B5*Table2[ratio]</f>
        <v>15.01074984579571</v>
      </c>
      <c r="C6" s="4">
        <f>Table1[[#This Row],[speed]]*Table2[maxPower]/Table2[ratedRpm]</f>
        <v>12.909244867384311</v>
      </c>
      <c r="D6" s="4">
        <f>850*Table1[[#This Row],[speed]]/Table2[ratedRpm]</f>
        <v>5.799607894966524</v>
      </c>
      <c r="E6" s="5">
        <f>Table2[ratedRpm]*10/Table1[[#This Row],[speed]]</f>
        <v>1465.6163233685409</v>
      </c>
      <c r="F6" s="5">
        <f>Table2[ratedRpm]*15/Table1[[#This Row],[speed]]</f>
        <v>2198.4244850528112</v>
      </c>
      <c r="G6" s="5">
        <f>Table2[ratedRpm]*25/Table1[[#This Row],[speed]]</f>
        <v>3664.0408084213523</v>
      </c>
      <c r="H6" s="5">
        <f>Table2[ratedRpm]*42/Table1[[#This Row],[speed]]</f>
        <v>6155.5885581478715</v>
      </c>
      <c r="J6">
        <v>0.45</v>
      </c>
      <c r="K6">
        <v>0.9</v>
      </c>
      <c r="L6">
        <f>Table3[[#This Row],[normRpm]]*Table2[ratedRpm]</f>
        <v>990</v>
      </c>
      <c r="M6" s="2">
        <f>Table3[[#This Row],[normRpm]]*Table3[[#This Row],[torque]]/0.72</f>
        <v>0.56250000000000011</v>
      </c>
      <c r="N6" s="7">
        <f>Table3[[#This Row],[RPM]]*Table3[[#This Row],[torque]]*Table2[torqueScale]/9548</f>
        <v>35.647465437788021</v>
      </c>
      <c r="O6" s="7">
        <f>Table3[[#This Row],[kW]]*1.36</f>
        <v>48.480552995391712</v>
      </c>
    </row>
    <row r="7" spans="1:18" x14ac:dyDescent="0.25">
      <c r="A7" t="s">
        <v>31</v>
      </c>
      <c r="B7" s="4">
        <f>B6*Table2[ratio]</f>
        <v>18.208039562950198</v>
      </c>
      <c r="C7" s="4">
        <f>Table1[[#This Row],[speed]]*Table2[maxPower]/Table2[ratedRpm]</f>
        <v>15.65891402413717</v>
      </c>
      <c r="D7" s="4">
        <f>850*Table1[[#This Row],[speed]]/Table2[ratedRpm]</f>
        <v>7.0349243765943941</v>
      </c>
      <c r="E7" s="5">
        <f>Table2[ratedRpm]*10/Table1[[#This Row],[speed]]</f>
        <v>1208.2574801059693</v>
      </c>
      <c r="F7" s="5">
        <f>Table2[ratedRpm]*15/Table1[[#This Row],[speed]]</f>
        <v>1812.3862201589538</v>
      </c>
      <c r="G7" s="5">
        <f>Table2[ratedRpm]*25/Table1[[#This Row],[speed]]</f>
        <v>3020.6437002649232</v>
      </c>
      <c r="H7" s="5">
        <f>Table2[ratedRpm]*42/Table1[[#This Row],[speed]]</f>
        <v>5074.6814164450707</v>
      </c>
      <c r="J7">
        <v>0.5</v>
      </c>
      <c r="K7">
        <v>0.97</v>
      </c>
      <c r="L7">
        <f>Table3[[#This Row],[normRpm]]*Table2[ratedRpm]</f>
        <v>1100</v>
      </c>
      <c r="M7" s="2">
        <f>Table3[[#This Row],[normRpm]]*Table3[[#This Row],[torque]]/0.72</f>
        <v>0.67361111111111116</v>
      </c>
      <c r="N7" s="7">
        <f>Table3[[#This Row],[RPM]]*Table3[[#This Row],[torque]]*Table2[torqueScale]/9548</f>
        <v>42.6889400921659</v>
      </c>
      <c r="O7" s="7">
        <f>Table3[[#This Row],[kW]]*1.36</f>
        <v>58.056958525345628</v>
      </c>
    </row>
    <row r="8" spans="1:18" x14ac:dyDescent="0.25">
      <c r="A8" t="s">
        <v>32</v>
      </c>
      <c r="B8" s="3">
        <f>B7*Table2[ratio]</f>
        <v>22.086351989858592</v>
      </c>
      <c r="C8" s="4">
        <f>Table1[[#This Row],[speed]]*Table2[maxPower]/Table2[ratedRpm]</f>
        <v>18.994262711278388</v>
      </c>
      <c r="D8" s="4">
        <f>850*Table1[[#This Row],[speed]]/Table2[ratedRpm]</f>
        <v>8.5333632688090013</v>
      </c>
      <c r="E8" s="5">
        <f>Table2[ratedRpm]*10/Table1[[#This Row],[speed]]</f>
        <v>996.09025565207685</v>
      </c>
      <c r="F8" s="5">
        <f>Table2[ratedRpm]*15/Table1[[#This Row],[speed]]</f>
        <v>1494.1353834781153</v>
      </c>
      <c r="G8" s="5">
        <f>Table2[ratedRpm]*25/Table1[[#This Row],[speed]]</f>
        <v>2490.2256391301921</v>
      </c>
      <c r="H8" s="5">
        <f>Table2[ratedRpm]*42/Table1[[#This Row],[speed]]</f>
        <v>4183.5790737387224</v>
      </c>
      <c r="J8">
        <v>0.59</v>
      </c>
      <c r="K8">
        <v>1</v>
      </c>
      <c r="L8">
        <f>Table3[[#This Row],[normRpm]]*Table2[ratedRpm]</f>
        <v>1298</v>
      </c>
      <c r="M8" s="2">
        <f>Table3[[#This Row],[normRpm]]*Table3[[#This Row],[torque]]/0.72</f>
        <v>0.81944444444444442</v>
      </c>
      <c r="N8" s="7">
        <f>Table3[[#This Row],[RPM]]*Table3[[#This Row],[torque]]*Table2[torqueScale]/9548</f>
        <v>51.930875576036868</v>
      </c>
      <c r="O8" s="7">
        <f>Table3[[#This Row],[kW]]*1.36</f>
        <v>70.625990783410145</v>
      </c>
    </row>
    <row r="9" spans="1:18" x14ac:dyDescent="0.25">
      <c r="A9" t="s">
        <v>33</v>
      </c>
      <c r="B9" s="3">
        <f>B8*Table2[ratio]</f>
        <v>26.790744963698472</v>
      </c>
      <c r="C9" s="4">
        <f>Table1[[#This Row],[speed]]*Table2[maxPower]/Table2[ratedRpm]</f>
        <v>23.040040668780684</v>
      </c>
      <c r="D9" s="4">
        <f>850*Table1[[#This Row],[speed]]/Table2[ratedRpm]</f>
        <v>10.350969645065319</v>
      </c>
      <c r="E9" s="5">
        <f>Table2[ratedRpm]*10/Table1[[#This Row],[speed]]</f>
        <v>821.17910606106909</v>
      </c>
      <c r="F9" s="5">
        <f>Table2[ratedRpm]*15/Table1[[#This Row],[speed]]</f>
        <v>1231.7686590916037</v>
      </c>
      <c r="G9" s="5">
        <f>Table2[ratedRpm]*25/Table1[[#This Row],[speed]]</f>
        <v>2052.9477651526727</v>
      </c>
      <c r="H9" s="5">
        <f>Table2[ratedRpm]*42/Table1[[#This Row],[speed]]</f>
        <v>3448.9522454564903</v>
      </c>
      <c r="J9">
        <v>0.72</v>
      </c>
      <c r="K9">
        <v>1</v>
      </c>
      <c r="L9">
        <f>Table3[[#This Row],[normRpm]]*Table2[ratedRpm]</f>
        <v>1584</v>
      </c>
      <c r="M9" s="2">
        <f>Table3[[#This Row],[normRpm]]*Table3[[#This Row],[torque]]/0.72</f>
        <v>1</v>
      </c>
      <c r="N9" s="7">
        <f>Table3[[#This Row],[RPM]]*Table3[[#This Row],[torque]]*Table2[torqueScale]/9548</f>
        <v>63.373271889400918</v>
      </c>
      <c r="O9" s="7">
        <f>Table3[[#This Row],[kW]]*1.36</f>
        <v>86.187649769585249</v>
      </c>
    </row>
    <row r="10" spans="1:18" x14ac:dyDescent="0.25">
      <c r="A10" t="s">
        <v>34</v>
      </c>
      <c r="B10" s="3">
        <f>B9*Table2[ratio]</f>
        <v>32.497173640966246</v>
      </c>
      <c r="C10" s="4">
        <f>Table1[[#This Row],[speed]]*Table2[maxPower]/Table2[ratedRpm]</f>
        <v>27.947569331230973</v>
      </c>
      <c r="D10" s="4">
        <f>850*Table1[[#This Row],[speed]]/Table2[ratedRpm]</f>
        <v>12.555726179464232</v>
      </c>
      <c r="E10" s="5">
        <f>Table2[ratedRpm]*10/Table1[[#This Row],[speed]]</f>
        <v>676.98195058620706</v>
      </c>
      <c r="F10" s="5">
        <f>Table2[ratedRpm]*15/Table1[[#This Row],[speed]]</f>
        <v>1015.4729258793105</v>
      </c>
      <c r="G10" s="5">
        <f>Table2[ratedRpm]*25/Table1[[#This Row],[speed]]</f>
        <v>1692.4548764655176</v>
      </c>
      <c r="H10" s="5">
        <f>Table2[ratedRpm]*42/Table1[[#This Row],[speed]]</f>
        <v>2843.3241924620693</v>
      </c>
      <c r="J10">
        <v>0.86</v>
      </c>
      <c r="K10">
        <v>0.88</v>
      </c>
      <c r="L10">
        <f>Table3[[#This Row],[normRpm]]*Table2[ratedRpm]</f>
        <v>1892</v>
      </c>
      <c r="M10" s="2">
        <f>Table3[[#This Row],[normRpm]]*Table3[[#This Row],[torque]]/0.72</f>
        <v>1.0511111111111111</v>
      </c>
      <c r="N10" s="7">
        <f>Table3[[#This Row],[RPM]]*Table3[[#This Row],[torque]]*Table2[torqueScale]/9548</f>
        <v>66.612350230414748</v>
      </c>
      <c r="O10" s="7">
        <f>Table3[[#This Row],[kW]]*1.36</f>
        <v>90.592796313364062</v>
      </c>
    </row>
    <row r="11" spans="1:18" x14ac:dyDescent="0.25">
      <c r="A11" t="s">
        <v>4</v>
      </c>
      <c r="B11" s="3">
        <f>B10*Table2[ratio]</f>
        <v>39.419071626492055</v>
      </c>
      <c r="C11" s="4">
        <f>Table1[[#This Row],[speed]]*Table2[maxPower]/Table2[ratedRpm]</f>
        <v>33.900401598783169</v>
      </c>
      <c r="D11" s="4">
        <f>850*Table1[[#This Row],[speed]]/Table2[ratedRpm]</f>
        <v>15.230095855690111</v>
      </c>
      <c r="E11" s="5">
        <f>Table2[ratedRpm]*10/Table1[[#This Row],[speed]]</f>
        <v>558.10548275862084</v>
      </c>
      <c r="F11" s="5">
        <f>Table2[ratedRpm]*15/Table1[[#This Row],[speed]]</f>
        <v>837.15822413793114</v>
      </c>
      <c r="G11" s="5">
        <f>Table2[ratedRpm]*25/Table1[[#This Row],[speed]]</f>
        <v>1395.2637068965521</v>
      </c>
      <c r="H11" s="5">
        <f>Table2[ratedRpm]*42/Table1[[#This Row],[speed]]</f>
        <v>2344.0430275862072</v>
      </c>
      <c r="J11">
        <v>1</v>
      </c>
      <c r="K11">
        <v>0.72</v>
      </c>
      <c r="L11">
        <f>Table3[[#This Row],[normRpm]]*Table2[ratedRpm]</f>
        <v>2200</v>
      </c>
      <c r="M11" s="2">
        <f>Table3[[#This Row],[normRpm]]*Table3[[#This Row],[torque]]/0.72</f>
        <v>1</v>
      </c>
      <c r="N11" s="7">
        <f>Table3[[#This Row],[RPM]]*Table3[[#This Row],[torque]]*Table2[torqueScale]/9548</f>
        <v>63.373271889400918</v>
      </c>
      <c r="O11" s="7">
        <f>Table3[[#This Row],[kW]]*1.36</f>
        <v>86.187649769585249</v>
      </c>
    </row>
    <row r="12" spans="1:18" x14ac:dyDescent="0.25">
      <c r="A12" s="1" t="s">
        <v>5</v>
      </c>
      <c r="B12" s="3">
        <f>B11*Table2[ratio]</f>
        <v>47.815333882934866</v>
      </c>
      <c r="C12" s="4">
        <f>Table1[[#This Row],[speed]]*Table2[maxPower]/Table2[ratedRpm]</f>
        <v>41.121187139323986</v>
      </c>
      <c r="D12" s="4">
        <f>850*Table1[[#This Row],[speed]]/Table2[ratedRpm]</f>
        <v>18.47410627295211</v>
      </c>
      <c r="E12" s="5">
        <f>Table2[ratedRpm]*10/Table1[[#This Row],[speed]]</f>
        <v>460.10344827586215</v>
      </c>
      <c r="F12" s="5">
        <f>Table2[ratedRpm]*15/Table1[[#This Row],[speed]]</f>
        <v>690.15517241379325</v>
      </c>
      <c r="G12" s="5">
        <f>Table2[ratedRpm]*25/Table1[[#This Row],[speed]]</f>
        <v>1150.2586206896553</v>
      </c>
      <c r="H12" s="5">
        <f>Table2[ratedRpm]*42/Table1[[#This Row],[speed]]</f>
        <v>1932.434482758621</v>
      </c>
    </row>
    <row r="13" spans="1:18" x14ac:dyDescent="0.25">
      <c r="A13" s="1" t="s">
        <v>28</v>
      </c>
      <c r="B13" s="4">
        <f>B12*Table2[ratio]</f>
        <v>57.999999999999993</v>
      </c>
      <c r="C13" s="4">
        <f>Table1[[#This Row],[speed]]*Table2[maxPower]/Table2[ratedRpm]</f>
        <v>49.879999999999995</v>
      </c>
      <c r="D13" s="4">
        <f>850*Table1[[#This Row],[speed]]/Table2[ratedRpm]</f>
        <v>22.409090909090907</v>
      </c>
      <c r="E13" s="5">
        <f>Table2[ratedRpm]*10/Table1[[#This Row],[speed]]</f>
        <v>379.31034482758628</v>
      </c>
      <c r="F13" s="5">
        <f>Table2[ratedRpm]*15/Table1[[#This Row],[speed]]</f>
        <v>568.96551724137942</v>
      </c>
      <c r="G13" s="5">
        <f>Table2[ratedRpm]*25/Table1[[#This Row],[speed]]</f>
        <v>948.27586206896558</v>
      </c>
      <c r="H13" s="5">
        <f>Table2[ratedRpm]*42/Table1[[#This Row],[speed]]</f>
        <v>1593.1034482758623</v>
      </c>
    </row>
  </sheetData>
  <conditionalFormatting sqref="E2">
    <cfRule type="cellIs" dxfId="41" priority="2" operator="between">
      <formula>$L$9</formula>
      <formula>$L$11</formula>
    </cfRule>
  </conditionalFormatting>
  <conditionalFormatting sqref="E2:H13">
    <cfRule type="cellIs" dxfId="40" priority="1" operator="between">
      <formula>$L$9</formula>
      <formula>$O$2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0F22-BA90-4EE0-A2B9-4934B57C4CEB}">
  <dimension ref="A1:R13"/>
  <sheetViews>
    <sheetView workbookViewId="0">
      <selection activeCell="E36" sqref="E36"/>
    </sheetView>
  </sheetViews>
  <sheetFormatPr defaultRowHeight="15" x14ac:dyDescent="0.25"/>
  <cols>
    <col min="1" max="1" width="7.42578125" bestFit="1" customWidth="1"/>
    <col min="2" max="2" width="8.7109375" bestFit="1" customWidth="1"/>
    <col min="3" max="3" width="12.7109375" bestFit="1" customWidth="1"/>
    <col min="4" max="4" width="12.7109375" customWidth="1"/>
    <col min="5" max="7" width="10.42578125" bestFit="1" customWidth="1"/>
    <col min="8" max="8" width="10.42578125" customWidth="1"/>
    <col min="10" max="10" width="12" bestFit="1" customWidth="1"/>
  </cols>
  <sheetData>
    <row r="1" spans="1:18" x14ac:dyDescent="0.25">
      <c r="A1" s="1" t="s">
        <v>0</v>
      </c>
      <c r="B1" s="1" t="s">
        <v>1</v>
      </c>
      <c r="C1" s="1" t="s">
        <v>13</v>
      </c>
      <c r="D1" s="1" t="s">
        <v>40</v>
      </c>
      <c r="E1" s="1" t="s">
        <v>19</v>
      </c>
      <c r="F1" s="1" t="s">
        <v>20</v>
      </c>
      <c r="G1" s="1" t="s">
        <v>21</v>
      </c>
      <c r="H1" s="1" t="s">
        <v>24</v>
      </c>
      <c r="J1" t="s">
        <v>2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22</v>
      </c>
      <c r="Q1" t="s">
        <v>23</v>
      </c>
      <c r="R1" t="s">
        <v>37</v>
      </c>
    </row>
    <row r="2" spans="1:18" x14ac:dyDescent="0.25">
      <c r="A2" s="1" t="s">
        <v>25</v>
      </c>
      <c r="B2" s="4">
        <f>Table27[minSpeed]</f>
        <v>14.34539253861792</v>
      </c>
      <c r="C2" s="4">
        <f>Table16[[#This Row],[speed]]*Table27[maxPower]/Table27[ratedRpm]</f>
        <v>14.34539253861792</v>
      </c>
      <c r="D2" s="4">
        <f>850*Table16[[#This Row],[speed]]/Table27[ratedRpm]</f>
        <v>5.5425380262841966</v>
      </c>
      <c r="E2" s="5">
        <f>Table27[ratedRpm]*10/Table16[[#This Row],[speed]]</f>
        <v>1533.5934475669321</v>
      </c>
      <c r="F2" s="5">
        <f>Table27[ratedRpm]*15/Table16[[#This Row],[speed]]</f>
        <v>2300.3901713503983</v>
      </c>
      <c r="G2" s="5">
        <f>Table27[ratedRpm]*25/Table16[[#This Row],[speed]]</f>
        <v>3833.9836189173302</v>
      </c>
      <c r="H2" s="5">
        <f>Table27[ratedRpm]*42/Table16[[#This Row],[speed]]</f>
        <v>6441.0924797811149</v>
      </c>
      <c r="J2">
        <v>1.2130000000000001</v>
      </c>
      <c r="K2">
        <v>120</v>
      </c>
      <c r="L2">
        <f>Table27[maxSpeed]/POWER(Table27[ratio],Table27[gears]-1)</f>
        <v>14.34539253861792</v>
      </c>
      <c r="M2">
        <v>12</v>
      </c>
      <c r="N2">
        <f>J10*Table27[ratedRpm]</f>
        <v>2200</v>
      </c>
      <c r="O2">
        <v>2200</v>
      </c>
      <c r="P2">
        <f>Table27[ratedRpm]/Table27[ratio]</f>
        <v>1813.6850783182192</v>
      </c>
      <c r="Q2">
        <f>4*540</f>
        <v>2160</v>
      </c>
      <c r="R2" s="6">
        <v>3068</v>
      </c>
    </row>
    <row r="3" spans="1:18" x14ac:dyDescent="0.25">
      <c r="A3" s="1" t="s">
        <v>26</v>
      </c>
      <c r="B3" s="4">
        <f>B2*Table27[ratio]</f>
        <v>17.400961149343537</v>
      </c>
      <c r="C3" s="4">
        <f>Table16[[#This Row],[speed]]*Table27[maxPower]/Table27[ratedRpm]</f>
        <v>17.400961149343537</v>
      </c>
      <c r="D3" s="4">
        <f>850*Table16[[#This Row],[speed]]/Table27[ratedRpm]</f>
        <v>6.7230986258827308</v>
      </c>
      <c r="E3" s="5">
        <f>Table27[ratedRpm]*10/Table16[[#This Row],[speed]]</f>
        <v>1264.2979782085179</v>
      </c>
      <c r="F3" s="5">
        <f>Table27[ratedRpm]*15/Table16[[#This Row],[speed]]</f>
        <v>1896.4469673127767</v>
      </c>
      <c r="G3" s="5">
        <f>Table27[ratedRpm]*25/Table16[[#This Row],[speed]]</f>
        <v>3160.7449455212945</v>
      </c>
      <c r="H3" s="5">
        <f>Table27[ratedRpm]*42/Table16[[#This Row],[speed]]</f>
        <v>5310.0515084757744</v>
      </c>
    </row>
    <row r="4" spans="1:18" x14ac:dyDescent="0.25">
      <c r="A4" s="1" t="s">
        <v>7</v>
      </c>
      <c r="B4" s="4">
        <f>B3*Table27[ratio]</f>
        <v>21.107365874153711</v>
      </c>
      <c r="C4" s="4">
        <f>Table16[[#This Row],[speed]]*Table27[maxPower]/Table27[ratedRpm]</f>
        <v>21.107365874153711</v>
      </c>
      <c r="D4" s="4">
        <f>850*Table16[[#This Row],[speed]]/Table27[ratedRpm]</f>
        <v>8.1551186331957517</v>
      </c>
      <c r="E4" s="5">
        <f>Table27[ratedRpm]*10/Table16[[#This Row],[speed]]</f>
        <v>1042.2901716475826</v>
      </c>
      <c r="F4" s="5">
        <f>Table27[ratedRpm]*15/Table16[[#This Row],[speed]]</f>
        <v>1563.4352574713739</v>
      </c>
      <c r="G4" s="5">
        <f>Table27[ratedRpm]*25/Table16[[#This Row],[speed]]</f>
        <v>2605.7254291189565</v>
      </c>
      <c r="H4" s="5">
        <f>Table27[ratedRpm]*42/Table16[[#This Row],[speed]]</f>
        <v>4377.618720919847</v>
      </c>
    </row>
    <row r="5" spans="1:18" x14ac:dyDescent="0.25">
      <c r="A5" s="1" t="s">
        <v>8</v>
      </c>
      <c r="B5" s="4">
        <f>B4*Table27[ratio]</f>
        <v>25.603234805348453</v>
      </c>
      <c r="C5" s="4">
        <f>Table16[[#This Row],[speed]]*Table27[maxPower]/Table27[ratedRpm]</f>
        <v>25.603234805348453</v>
      </c>
      <c r="D5" s="4">
        <f>850*Table16[[#This Row],[speed]]/Table27[ratedRpm]</f>
        <v>9.8921589020664484</v>
      </c>
      <c r="E5" s="5">
        <f>Table27[ratedRpm]*10/Table16[[#This Row],[speed]]</f>
        <v>859.26642345225275</v>
      </c>
      <c r="F5" s="5">
        <f>Table27[ratedRpm]*15/Table16[[#This Row],[speed]]</f>
        <v>1288.8996351783792</v>
      </c>
      <c r="G5" s="5">
        <f>Table27[ratedRpm]*25/Table16[[#This Row],[speed]]</f>
        <v>2148.1660586306321</v>
      </c>
      <c r="H5" s="5">
        <f>Table27[ratedRpm]*42/Table16[[#This Row],[speed]]</f>
        <v>3608.9189784994614</v>
      </c>
      <c r="J5" t="s">
        <v>15</v>
      </c>
      <c r="K5" t="s">
        <v>17</v>
      </c>
      <c r="L5" t="s">
        <v>16</v>
      </c>
      <c r="M5" t="s">
        <v>18</v>
      </c>
      <c r="N5" t="s">
        <v>38</v>
      </c>
      <c r="O5" t="s">
        <v>39</v>
      </c>
    </row>
    <row r="6" spans="1:18" x14ac:dyDescent="0.25">
      <c r="A6" s="1" t="s">
        <v>9</v>
      </c>
      <c r="B6" s="4">
        <f>B5*Table27[ratio]</f>
        <v>31.056723818887676</v>
      </c>
      <c r="C6" s="4">
        <f>Table16[[#This Row],[speed]]*Table27[maxPower]/Table27[ratedRpm]</f>
        <v>31.056723818887676</v>
      </c>
      <c r="D6" s="4">
        <f>850*Table16[[#This Row],[speed]]/Table27[ratedRpm]</f>
        <v>11.999188748206603</v>
      </c>
      <c r="E6" s="5">
        <f>Table27[ratedRpm]*10/Table16[[#This Row],[speed]]</f>
        <v>708.38122296146139</v>
      </c>
      <c r="F6" s="5">
        <f>Table27[ratedRpm]*15/Table16[[#This Row],[speed]]</f>
        <v>1062.5718344421921</v>
      </c>
      <c r="G6" s="5">
        <f>Table27[ratedRpm]*25/Table16[[#This Row],[speed]]</f>
        <v>1770.9530574036535</v>
      </c>
      <c r="H6" s="5">
        <f>Table27[ratedRpm]*42/Table16[[#This Row],[speed]]</f>
        <v>2975.2011364381378</v>
      </c>
      <c r="J6">
        <f>Table38[[#This Row],[RPM]]/Table27[ratedRpm]</f>
        <v>0.38636363636363635</v>
      </c>
      <c r="K6">
        <v>0.9</v>
      </c>
      <c r="L6">
        <v>850</v>
      </c>
      <c r="M6" s="2">
        <f>Table38[[#This Row],[normRpm]]*Table38[[#This Row],[torque]]/0.72</f>
        <v>0.48295454545454547</v>
      </c>
      <c r="N6" s="7">
        <f>Table38[[#This Row],[RPM]]*Table38[[#This Row],[torque]]*Table27[torqueScale]/9548</f>
        <v>245.81273565144534</v>
      </c>
      <c r="O6" s="7">
        <f>Table38[[#This Row],[kW]]*1.36</f>
        <v>334.30532048596569</v>
      </c>
    </row>
    <row r="7" spans="1:18" x14ac:dyDescent="0.25">
      <c r="A7" s="1" t="s">
        <v>27</v>
      </c>
      <c r="B7" s="4">
        <f>B6*Table27[ratio]</f>
        <v>37.671805992310752</v>
      </c>
      <c r="C7" s="4">
        <f>Table16[[#This Row],[speed]]*Table27[maxPower]/Table27[ratedRpm]</f>
        <v>37.671805992310752</v>
      </c>
      <c r="D7" s="4">
        <f>850*Table16[[#This Row],[speed]]/Table27[ratedRpm]</f>
        <v>14.555015951574608</v>
      </c>
      <c r="E7" s="5">
        <f>Table27[ratedRpm]*10/Table16[[#This Row],[speed]]</f>
        <v>583.9911153845519</v>
      </c>
      <c r="F7" s="5">
        <f>Table27[ratedRpm]*15/Table16[[#This Row],[speed]]</f>
        <v>875.98667307682774</v>
      </c>
      <c r="G7" s="5">
        <f>Table27[ratedRpm]*25/Table16[[#This Row],[speed]]</f>
        <v>1459.9777884613795</v>
      </c>
      <c r="H7" s="5">
        <f>Table27[ratedRpm]*42/Table16[[#This Row],[speed]]</f>
        <v>2452.7626846151179</v>
      </c>
      <c r="J7">
        <f>Table38[[#This Row],[RPM]]/Table27[ratedRpm]</f>
        <v>0.45454545454545453</v>
      </c>
      <c r="K7">
        <v>1</v>
      </c>
      <c r="L7">
        <v>1000</v>
      </c>
      <c r="M7" s="2">
        <f>Table38[[#This Row],[normRpm]]*Table38[[#This Row],[torque]]/0.72</f>
        <v>0.63131313131313127</v>
      </c>
      <c r="N7" s="7">
        <f>Table38[[#This Row],[RPM]]*Table38[[#This Row],[torque]]*Table27[torqueScale]/9548</f>
        <v>321.32383745286972</v>
      </c>
      <c r="O7" s="7">
        <f>Table38[[#This Row],[kW]]*1.36</f>
        <v>437.00041893590287</v>
      </c>
    </row>
    <row r="8" spans="1:18" x14ac:dyDescent="0.25">
      <c r="A8" t="s">
        <v>3</v>
      </c>
      <c r="B8" s="3">
        <f>B7*Table27[ratio]</f>
        <v>45.695900668672948</v>
      </c>
      <c r="C8" s="4">
        <f>Table16[[#This Row],[speed]]*Table27[maxPower]/Table27[ratedRpm]</f>
        <v>45.695900668672948</v>
      </c>
      <c r="D8" s="4">
        <f>850*Table16[[#This Row],[speed]]/Table27[ratedRpm]</f>
        <v>17.655234349260002</v>
      </c>
      <c r="E8" s="5">
        <f>Table27[ratedRpm]*10/Table16[[#This Row],[speed]]</f>
        <v>481.44362356517047</v>
      </c>
      <c r="F8" s="5">
        <f>Table27[ratedRpm]*15/Table16[[#This Row],[speed]]</f>
        <v>722.16543534775565</v>
      </c>
      <c r="G8" s="5">
        <f>Table27[ratedRpm]*25/Table16[[#This Row],[speed]]</f>
        <v>1203.6090589129262</v>
      </c>
      <c r="H8" s="5">
        <f>Table27[ratedRpm]*42/Table16[[#This Row],[speed]]</f>
        <v>2022.0632189737159</v>
      </c>
      <c r="J8">
        <f>Table38[[#This Row],[RPM]]/Table27[ratedRpm]</f>
        <v>0.65909090909090906</v>
      </c>
      <c r="K8">
        <v>1</v>
      </c>
      <c r="L8">
        <v>1450</v>
      </c>
      <c r="M8" s="2">
        <f>Table38[[#This Row],[normRpm]]*Table38[[#This Row],[torque]]/0.72</f>
        <v>0.91540404040404044</v>
      </c>
      <c r="N8" s="7">
        <f>Table38[[#This Row],[RPM]]*Table38[[#This Row],[torque]]*Table27[torqueScale]/9548</f>
        <v>465.91956430666107</v>
      </c>
      <c r="O8" s="7">
        <f>Table38[[#This Row],[kW]]*1.36</f>
        <v>633.6506074570591</v>
      </c>
    </row>
    <row r="9" spans="1:18" x14ac:dyDescent="0.25">
      <c r="A9" t="s">
        <v>4</v>
      </c>
      <c r="B9" s="3">
        <f>B8*Table27[ratio]</f>
        <v>55.42912751110029</v>
      </c>
      <c r="C9" s="4">
        <f>Table16[[#This Row],[speed]]*Table27[maxPower]/Table27[ratedRpm]</f>
        <v>55.42912751110029</v>
      </c>
      <c r="D9" s="4">
        <f>850*Table16[[#This Row],[speed]]/Table27[ratedRpm]</f>
        <v>21.415799265652385</v>
      </c>
      <c r="E9" s="5">
        <f>Table27[ratedRpm]*10/Table16[[#This Row],[speed]]</f>
        <v>396.90323459618338</v>
      </c>
      <c r="F9" s="5">
        <f>Table27[ratedRpm]*15/Table16[[#This Row],[speed]]</f>
        <v>595.35485189427504</v>
      </c>
      <c r="G9" s="5">
        <f>Table27[ratedRpm]*25/Table16[[#This Row],[speed]]</f>
        <v>992.25808649045837</v>
      </c>
      <c r="H9" s="5">
        <f>Table27[ratedRpm]*42/Table16[[#This Row],[speed]]</f>
        <v>1666.9935853039701</v>
      </c>
      <c r="J9">
        <f>Table38[[#This Row],[RPM]]/Table27[ratedRpm]</f>
        <v>0.86363636363636365</v>
      </c>
      <c r="K9">
        <v>0.75</v>
      </c>
      <c r="L9">
        <v>1900</v>
      </c>
      <c r="M9" s="2">
        <f>Table38[[#This Row],[normRpm]]*Table38[[#This Row],[torque]]/0.72</f>
        <v>0.89962121212121215</v>
      </c>
      <c r="N9" s="7">
        <f>Table38[[#This Row],[RPM]]*Table38[[#This Row],[torque]]*Table27[torqueScale]/9548</f>
        <v>457.88646837033934</v>
      </c>
      <c r="O9" s="7">
        <f>Table38[[#This Row],[kW]]*1.36</f>
        <v>622.7255969836616</v>
      </c>
    </row>
    <row r="10" spans="1:18" x14ac:dyDescent="0.25">
      <c r="A10" t="s">
        <v>5</v>
      </c>
      <c r="B10" s="3">
        <f>B9*Table27[ratio]</f>
        <v>67.235531670964662</v>
      </c>
      <c r="C10" s="4">
        <f>Table16[[#This Row],[speed]]*Table27[maxPower]/Table27[ratedRpm]</f>
        <v>67.235531670964662</v>
      </c>
      <c r="D10" s="4">
        <f>850*Table16[[#This Row],[speed]]/Table27[ratedRpm]</f>
        <v>25.977364509236345</v>
      </c>
      <c r="E10" s="5">
        <f>Table27[ratedRpm]*10/Table16[[#This Row],[speed]]</f>
        <v>327.20794278333329</v>
      </c>
      <c r="F10" s="5">
        <f>Table27[ratedRpm]*15/Table16[[#This Row],[speed]]</f>
        <v>490.81191417499997</v>
      </c>
      <c r="G10" s="5">
        <f>Table27[ratedRpm]*25/Table16[[#This Row],[speed]]</f>
        <v>818.01985695833332</v>
      </c>
      <c r="H10" s="5">
        <f>Table27[ratedRpm]*42/Table16[[#This Row],[speed]]</f>
        <v>1374.27335969</v>
      </c>
      <c r="J10">
        <f>Table38[[#This Row],[RPM]]/Table27[ratedRpm]</f>
        <v>1</v>
      </c>
      <c r="K10">
        <v>0.63</v>
      </c>
      <c r="L10">
        <v>2200</v>
      </c>
      <c r="M10" s="2">
        <f>Table38[[#This Row],[normRpm]]*Table38[[#This Row],[torque]]/0.72</f>
        <v>0.875</v>
      </c>
      <c r="N10" s="7">
        <f>Table38[[#This Row],[RPM]]*Table38[[#This Row],[torque]]*Table27[torqueScale]/9548</f>
        <v>445.35483870967744</v>
      </c>
      <c r="O10" s="7">
        <f>Table38[[#This Row],[kW]]*1.36</f>
        <v>605.68258064516135</v>
      </c>
    </row>
    <row r="11" spans="1:18" x14ac:dyDescent="0.25">
      <c r="A11" t="s">
        <v>28</v>
      </c>
      <c r="B11" s="3">
        <f>B10*Table27[ratio]</f>
        <v>81.556699916880135</v>
      </c>
      <c r="C11" s="4">
        <f>Table16[[#This Row],[speed]]*Table27[maxPower]/Table27[ratedRpm]</f>
        <v>81.556699916880135</v>
      </c>
      <c r="D11" s="4">
        <f>850*Table16[[#This Row],[speed]]/Table27[ratedRpm]</f>
        <v>31.51054314970369</v>
      </c>
      <c r="E11" s="5">
        <f>Table27[ratedRpm]*10/Table16[[#This Row],[speed]]</f>
        <v>269.75098333333329</v>
      </c>
      <c r="F11" s="5">
        <f>Table27[ratedRpm]*15/Table16[[#This Row],[speed]]</f>
        <v>404.62647499999997</v>
      </c>
      <c r="G11" s="5">
        <f>Table27[ratedRpm]*25/Table16[[#This Row],[speed]]</f>
        <v>674.37745833333327</v>
      </c>
      <c r="H11" s="5">
        <f>Table27[ratedRpm]*42/Table16[[#This Row],[speed]]</f>
        <v>1132.9541299999999</v>
      </c>
      <c r="J11">
        <f>Table38[[#This Row],[RPM]]/Table27[ratedRpm]</f>
        <v>1.1363636363636365</v>
      </c>
      <c r="K11">
        <v>0.2</v>
      </c>
      <c r="L11">
        <v>2500</v>
      </c>
      <c r="M11" s="2">
        <f>Table38[[#This Row],[normRpm]]*Table38[[#This Row],[torque]]/0.72</f>
        <v>0.31565656565656569</v>
      </c>
      <c r="N11" s="7">
        <f>Table38[[#This Row],[RPM]]*Table38[[#This Row],[torque]]*Table27[torqueScale]/9548</f>
        <v>160.66191872643486</v>
      </c>
      <c r="O11" s="7">
        <f>Table38[[#This Row],[kW]]*1.36</f>
        <v>218.50020946795144</v>
      </c>
    </row>
    <row r="12" spans="1:18" x14ac:dyDescent="0.25">
      <c r="A12" t="s">
        <v>29</v>
      </c>
      <c r="B12" s="3">
        <f>B11*Table27[ratio]</f>
        <v>98.928276999175608</v>
      </c>
      <c r="C12" s="4">
        <f>Table16[[#This Row],[speed]]*Table27[maxPower]/Table27[ratedRpm]</f>
        <v>98.928276999175608</v>
      </c>
      <c r="D12" s="4">
        <f>850*Table16[[#This Row],[speed]]/Table27[ratedRpm]</f>
        <v>38.222288840590572</v>
      </c>
      <c r="E12" s="5">
        <f>Table27[ratedRpm]*10/Table16[[#This Row],[speed]]</f>
        <v>222.3833333333333</v>
      </c>
      <c r="F12" s="5">
        <f>Table27[ratedRpm]*15/Table16[[#This Row],[speed]]</f>
        <v>333.57499999999999</v>
      </c>
      <c r="G12" s="5">
        <f>Table27[ratedRpm]*25/Table16[[#This Row],[speed]]</f>
        <v>555.95833333333326</v>
      </c>
      <c r="H12" s="5">
        <f>Table27[ratedRpm]*42/Table16[[#This Row],[speed]]</f>
        <v>934.00999999999988</v>
      </c>
    </row>
    <row r="13" spans="1:18" x14ac:dyDescent="0.25">
      <c r="A13" t="s">
        <v>30</v>
      </c>
      <c r="B13" s="4">
        <f>B12*Table27[ratio]</f>
        <v>120.00000000000001</v>
      </c>
      <c r="C13" s="4">
        <f>Table16[[#This Row],[speed]]*Table27[maxPower]/Table27[ratedRpm]</f>
        <v>120.00000000000003</v>
      </c>
      <c r="D13" s="4">
        <f>850*Table16[[#This Row],[speed]]/Table27[ratedRpm]</f>
        <v>46.363636363636367</v>
      </c>
      <c r="E13" s="5">
        <f>Table27[ratedRpm]*10/Table16[[#This Row],[speed]]</f>
        <v>183.33333333333331</v>
      </c>
      <c r="F13" s="5">
        <f>Table27[ratedRpm]*15/Table16[[#This Row],[speed]]</f>
        <v>274.99999999999994</v>
      </c>
      <c r="G13" s="5">
        <f>Table27[ratedRpm]*25/Table16[[#This Row],[speed]]</f>
        <v>458.33333333333326</v>
      </c>
      <c r="H13" s="5">
        <f>Table27[ratedRpm]*42/Table16[[#This Row],[speed]]</f>
        <v>769.99999999999989</v>
      </c>
    </row>
  </sheetData>
  <conditionalFormatting sqref="E2">
    <cfRule type="cellIs" dxfId="27" priority="2" operator="between">
      <formula>$L$9</formula>
      <formula>$L$11</formula>
    </cfRule>
  </conditionalFormatting>
  <conditionalFormatting sqref="E2:H13">
    <cfRule type="cellIs" dxfId="26" priority="1" operator="between">
      <formula>$L$9</formula>
      <formula>$O$2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3E3C-3C1E-454F-9E82-EC97CEC99190}">
  <dimension ref="A1:R13"/>
  <sheetViews>
    <sheetView tabSelected="1" workbookViewId="0">
      <selection activeCell="K2" sqref="K2"/>
    </sheetView>
  </sheetViews>
  <sheetFormatPr defaultRowHeight="15" x14ac:dyDescent="0.25"/>
  <cols>
    <col min="1" max="1" width="7.42578125" bestFit="1" customWidth="1"/>
    <col min="2" max="2" width="8.7109375" bestFit="1" customWidth="1"/>
    <col min="3" max="3" width="12.7109375" bestFit="1" customWidth="1"/>
    <col min="4" max="4" width="12.7109375" customWidth="1"/>
    <col min="5" max="7" width="10.42578125" bestFit="1" customWidth="1"/>
    <col min="8" max="8" width="10.42578125" customWidth="1"/>
    <col min="10" max="10" width="12" bestFit="1" customWidth="1"/>
  </cols>
  <sheetData>
    <row r="1" spans="1:18" x14ac:dyDescent="0.25">
      <c r="A1" s="1" t="s">
        <v>0</v>
      </c>
      <c r="B1" s="1" t="s">
        <v>1</v>
      </c>
      <c r="C1" s="1" t="s">
        <v>13</v>
      </c>
      <c r="D1" s="1" t="s">
        <v>40</v>
      </c>
      <c r="E1" s="1" t="s">
        <v>19</v>
      </c>
      <c r="F1" s="1" t="s">
        <v>20</v>
      </c>
      <c r="G1" s="1" t="s">
        <v>21</v>
      </c>
      <c r="H1" s="1" t="s">
        <v>24</v>
      </c>
      <c r="J1" t="s">
        <v>2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22</v>
      </c>
      <c r="Q1" t="s">
        <v>23</v>
      </c>
      <c r="R1" t="s">
        <v>37</v>
      </c>
    </row>
    <row r="2" spans="1:18" x14ac:dyDescent="0.25">
      <c r="A2" s="1" t="s">
        <v>51</v>
      </c>
      <c r="B2" s="4">
        <f>Table2712[minSpeed]</f>
        <v>14.34539253861792</v>
      </c>
      <c r="C2" s="4">
        <f>Table1611[[#This Row],[speed]]*Table2712[maxPower]/Table2712[ratedRpm]</f>
        <v>14.34539253861792</v>
      </c>
      <c r="D2" s="4">
        <f>850*Table1611[[#This Row],[speed]]/Table2712[ratedRpm]</f>
        <v>5.5425380262841966</v>
      </c>
      <c r="E2" s="5">
        <f>Table2712[ratedRpm]*10/Table1611[[#This Row],[speed]]</f>
        <v>1533.5934475669321</v>
      </c>
      <c r="F2" s="5">
        <f>Table2712[ratedRpm]*15/Table1611[[#This Row],[speed]]</f>
        <v>2300.3901713503983</v>
      </c>
      <c r="G2" s="5">
        <f>Table2712[ratedRpm]*25/Table1611[[#This Row],[speed]]</f>
        <v>3833.9836189173302</v>
      </c>
      <c r="H2" s="5">
        <f>Table2712[ratedRpm]*42/Table1611[[#This Row],[speed]]</f>
        <v>6441.0924797811149</v>
      </c>
      <c r="J2">
        <v>1.2130000000000001</v>
      </c>
      <c r="K2">
        <v>120</v>
      </c>
      <c r="L2">
        <f>Table2712[maxSpeed]/POWER(Table2712[ratio],Table2712[gears]-1)</f>
        <v>14.34539253861792</v>
      </c>
      <c r="M2">
        <v>12</v>
      </c>
      <c r="N2">
        <f>J10*Table2712[ratedRpm]</f>
        <v>2200</v>
      </c>
      <c r="O2">
        <v>2200</v>
      </c>
      <c r="P2">
        <f>Table2712[ratedRpm]/Table2712[ratio]</f>
        <v>1813.6850783182192</v>
      </c>
      <c r="Q2">
        <f>4*540</f>
        <v>2160</v>
      </c>
      <c r="R2" s="6">
        <v>3068</v>
      </c>
    </row>
    <row r="3" spans="1:18" x14ac:dyDescent="0.25">
      <c r="A3" s="1" t="s">
        <v>52</v>
      </c>
      <c r="B3" s="4">
        <f>B2*Table2712[ratio]</f>
        <v>17.400961149343537</v>
      </c>
      <c r="C3" s="4">
        <f>Table1611[[#This Row],[speed]]*Table2712[maxPower]/Table2712[ratedRpm]</f>
        <v>17.400961149343537</v>
      </c>
      <c r="D3" s="4">
        <f>850*Table1611[[#This Row],[speed]]/Table2712[ratedRpm]</f>
        <v>6.7230986258827308</v>
      </c>
      <c r="E3" s="5">
        <f>Table2712[ratedRpm]*10/Table1611[[#This Row],[speed]]</f>
        <v>1264.2979782085179</v>
      </c>
      <c r="F3" s="5">
        <f>Table2712[ratedRpm]*15/Table1611[[#This Row],[speed]]</f>
        <v>1896.4469673127767</v>
      </c>
      <c r="G3" s="5">
        <f>Table2712[ratedRpm]*25/Table1611[[#This Row],[speed]]</f>
        <v>3160.7449455212945</v>
      </c>
      <c r="H3" s="5">
        <f>Table2712[ratedRpm]*42/Table1611[[#This Row],[speed]]</f>
        <v>5310.0515084757744</v>
      </c>
    </row>
    <row r="4" spans="1:18" x14ac:dyDescent="0.25">
      <c r="A4" s="1" t="s">
        <v>41</v>
      </c>
      <c r="B4" s="4">
        <f>B3*Table2712[ratio]</f>
        <v>21.107365874153711</v>
      </c>
      <c r="C4" s="4">
        <f>Table1611[[#This Row],[speed]]*Table2712[maxPower]/Table2712[ratedRpm]</f>
        <v>21.107365874153711</v>
      </c>
      <c r="D4" s="4">
        <f>850*Table1611[[#This Row],[speed]]/Table2712[ratedRpm]</f>
        <v>8.1551186331957517</v>
      </c>
      <c r="E4" s="5">
        <f>Table2712[ratedRpm]*10/Table1611[[#This Row],[speed]]</f>
        <v>1042.2901716475826</v>
      </c>
      <c r="F4" s="5">
        <f>Table2712[ratedRpm]*15/Table1611[[#This Row],[speed]]</f>
        <v>1563.4352574713739</v>
      </c>
      <c r="G4" s="5">
        <f>Table2712[ratedRpm]*25/Table1611[[#This Row],[speed]]</f>
        <v>2605.7254291189565</v>
      </c>
      <c r="H4" s="5">
        <f>Table2712[ratedRpm]*42/Table1611[[#This Row],[speed]]</f>
        <v>4377.618720919847</v>
      </c>
    </row>
    <row r="5" spans="1:18" x14ac:dyDescent="0.25">
      <c r="A5" s="1" t="s">
        <v>42</v>
      </c>
      <c r="B5" s="4">
        <f>B4*Table2712[ratio]</f>
        <v>25.603234805348453</v>
      </c>
      <c r="C5" s="4">
        <f>Table1611[[#This Row],[speed]]*Table2712[maxPower]/Table2712[ratedRpm]</f>
        <v>25.603234805348453</v>
      </c>
      <c r="D5" s="4">
        <f>850*Table1611[[#This Row],[speed]]/Table2712[ratedRpm]</f>
        <v>9.8921589020664484</v>
      </c>
      <c r="E5" s="5">
        <f>Table2712[ratedRpm]*10/Table1611[[#This Row],[speed]]</f>
        <v>859.26642345225275</v>
      </c>
      <c r="F5" s="5">
        <f>Table2712[ratedRpm]*15/Table1611[[#This Row],[speed]]</f>
        <v>1288.8996351783792</v>
      </c>
      <c r="G5" s="5">
        <f>Table2712[ratedRpm]*25/Table1611[[#This Row],[speed]]</f>
        <v>2148.1660586306321</v>
      </c>
      <c r="H5" s="5">
        <f>Table2712[ratedRpm]*42/Table1611[[#This Row],[speed]]</f>
        <v>3608.9189784994614</v>
      </c>
      <c r="J5" t="s">
        <v>15</v>
      </c>
      <c r="K5" t="s">
        <v>17</v>
      </c>
      <c r="L5" t="s">
        <v>16</v>
      </c>
      <c r="M5" t="s">
        <v>18</v>
      </c>
      <c r="N5" t="s">
        <v>38</v>
      </c>
      <c r="O5" t="s">
        <v>39</v>
      </c>
    </row>
    <row r="6" spans="1:18" x14ac:dyDescent="0.25">
      <c r="A6" s="1" t="s">
        <v>43</v>
      </c>
      <c r="B6" s="4">
        <f>B5*Table2712[ratio]</f>
        <v>31.056723818887676</v>
      </c>
      <c r="C6" s="4">
        <f>Table1611[[#This Row],[speed]]*Table2712[maxPower]/Table2712[ratedRpm]</f>
        <v>31.056723818887676</v>
      </c>
      <c r="D6" s="4">
        <f>850*Table1611[[#This Row],[speed]]/Table2712[ratedRpm]</f>
        <v>11.999188748206603</v>
      </c>
      <c r="E6" s="5">
        <f>Table2712[ratedRpm]*10/Table1611[[#This Row],[speed]]</f>
        <v>708.38122296146139</v>
      </c>
      <c r="F6" s="5">
        <f>Table2712[ratedRpm]*15/Table1611[[#This Row],[speed]]</f>
        <v>1062.5718344421921</v>
      </c>
      <c r="G6" s="5">
        <f>Table2712[ratedRpm]*25/Table1611[[#This Row],[speed]]</f>
        <v>1770.9530574036535</v>
      </c>
      <c r="H6" s="5">
        <f>Table2712[ratedRpm]*42/Table1611[[#This Row],[speed]]</f>
        <v>2975.2011364381378</v>
      </c>
      <c r="J6">
        <f>Table3813[[#This Row],[RPM]]/Table2712[ratedRpm]</f>
        <v>0.38636363636363635</v>
      </c>
      <c r="K6">
        <v>0.9</v>
      </c>
      <c r="L6">
        <v>850</v>
      </c>
      <c r="M6" s="2">
        <f>Table3813[[#This Row],[normRpm]]*Table3813[[#This Row],[torque]]/0.72</f>
        <v>0.48295454545454547</v>
      </c>
      <c r="N6" s="7">
        <f>Table3813[[#This Row],[RPM]]*Table3813[[#This Row],[torque]]*Table2712[torqueScale]/9548</f>
        <v>245.81273565144534</v>
      </c>
      <c r="O6" s="7">
        <f>Table3813[[#This Row],[kW]]*1.36</f>
        <v>334.30532048596569</v>
      </c>
    </row>
    <row r="7" spans="1:18" x14ac:dyDescent="0.25">
      <c r="A7" s="1" t="s">
        <v>44</v>
      </c>
      <c r="B7" s="4">
        <f>B6*Table2712[ratio]</f>
        <v>37.671805992310752</v>
      </c>
      <c r="C7" s="4">
        <f>Table1611[[#This Row],[speed]]*Table2712[maxPower]/Table2712[ratedRpm]</f>
        <v>37.671805992310752</v>
      </c>
      <c r="D7" s="4">
        <f>850*Table1611[[#This Row],[speed]]/Table2712[ratedRpm]</f>
        <v>14.555015951574608</v>
      </c>
      <c r="E7" s="5">
        <f>Table2712[ratedRpm]*10/Table1611[[#This Row],[speed]]</f>
        <v>583.9911153845519</v>
      </c>
      <c r="F7" s="5">
        <f>Table2712[ratedRpm]*15/Table1611[[#This Row],[speed]]</f>
        <v>875.98667307682774</v>
      </c>
      <c r="G7" s="5">
        <f>Table2712[ratedRpm]*25/Table1611[[#This Row],[speed]]</f>
        <v>1459.9777884613795</v>
      </c>
      <c r="H7" s="5">
        <f>Table2712[ratedRpm]*42/Table1611[[#This Row],[speed]]</f>
        <v>2452.7626846151179</v>
      </c>
      <c r="J7">
        <f>Table3813[[#This Row],[RPM]]/Table2712[ratedRpm]</f>
        <v>0.45454545454545453</v>
      </c>
      <c r="K7">
        <v>1</v>
      </c>
      <c r="L7">
        <v>1000</v>
      </c>
      <c r="M7" s="2">
        <f>Table3813[[#This Row],[normRpm]]*Table3813[[#This Row],[torque]]/0.72</f>
        <v>0.63131313131313127</v>
      </c>
      <c r="N7" s="7">
        <f>Table3813[[#This Row],[RPM]]*Table3813[[#This Row],[torque]]*Table2712[torqueScale]/9548</f>
        <v>321.32383745286972</v>
      </c>
      <c r="O7" s="7">
        <f>Table3813[[#This Row],[kW]]*1.36</f>
        <v>437.00041893590287</v>
      </c>
    </row>
    <row r="8" spans="1:18" x14ac:dyDescent="0.25">
      <c r="A8" t="s">
        <v>45</v>
      </c>
      <c r="B8" s="3">
        <f>B7*Table2712[ratio]</f>
        <v>45.695900668672948</v>
      </c>
      <c r="C8" s="4">
        <f>Table1611[[#This Row],[speed]]*Table2712[maxPower]/Table2712[ratedRpm]</f>
        <v>45.695900668672948</v>
      </c>
      <c r="D8" s="4">
        <f>850*Table1611[[#This Row],[speed]]/Table2712[ratedRpm]</f>
        <v>17.655234349260002</v>
      </c>
      <c r="E8" s="5">
        <f>Table2712[ratedRpm]*10/Table1611[[#This Row],[speed]]</f>
        <v>481.44362356517047</v>
      </c>
      <c r="F8" s="5">
        <f>Table2712[ratedRpm]*15/Table1611[[#This Row],[speed]]</f>
        <v>722.16543534775565</v>
      </c>
      <c r="G8" s="5">
        <f>Table2712[ratedRpm]*25/Table1611[[#This Row],[speed]]</f>
        <v>1203.6090589129262</v>
      </c>
      <c r="H8" s="5">
        <f>Table2712[ratedRpm]*42/Table1611[[#This Row],[speed]]</f>
        <v>2022.0632189737159</v>
      </c>
      <c r="J8">
        <f>Table3813[[#This Row],[RPM]]/Table2712[ratedRpm]</f>
        <v>0.65909090909090906</v>
      </c>
      <c r="K8">
        <v>1</v>
      </c>
      <c r="L8">
        <v>1450</v>
      </c>
      <c r="M8" s="2">
        <f>Table3813[[#This Row],[normRpm]]*Table3813[[#This Row],[torque]]/0.72</f>
        <v>0.91540404040404044</v>
      </c>
      <c r="N8" s="7">
        <f>Table3813[[#This Row],[RPM]]*Table3813[[#This Row],[torque]]*Table2712[torqueScale]/9548</f>
        <v>465.91956430666107</v>
      </c>
      <c r="O8" s="7">
        <f>Table3813[[#This Row],[kW]]*1.36</f>
        <v>633.6506074570591</v>
      </c>
    </row>
    <row r="9" spans="1:18" x14ac:dyDescent="0.25">
      <c r="A9" t="s">
        <v>46</v>
      </c>
      <c r="B9" s="3">
        <f>B8*Table2712[ratio]</f>
        <v>55.42912751110029</v>
      </c>
      <c r="C9" s="4">
        <f>Table1611[[#This Row],[speed]]*Table2712[maxPower]/Table2712[ratedRpm]</f>
        <v>55.42912751110029</v>
      </c>
      <c r="D9" s="4">
        <f>850*Table1611[[#This Row],[speed]]/Table2712[ratedRpm]</f>
        <v>21.415799265652385</v>
      </c>
      <c r="E9" s="5">
        <f>Table2712[ratedRpm]*10/Table1611[[#This Row],[speed]]</f>
        <v>396.90323459618338</v>
      </c>
      <c r="F9" s="5">
        <f>Table2712[ratedRpm]*15/Table1611[[#This Row],[speed]]</f>
        <v>595.35485189427504</v>
      </c>
      <c r="G9" s="5">
        <f>Table2712[ratedRpm]*25/Table1611[[#This Row],[speed]]</f>
        <v>992.25808649045837</v>
      </c>
      <c r="H9" s="5">
        <f>Table2712[ratedRpm]*42/Table1611[[#This Row],[speed]]</f>
        <v>1666.9935853039701</v>
      </c>
      <c r="J9">
        <f>Table3813[[#This Row],[RPM]]/Table2712[ratedRpm]</f>
        <v>0.86363636363636365</v>
      </c>
      <c r="K9">
        <v>0.75</v>
      </c>
      <c r="L9">
        <v>1900</v>
      </c>
      <c r="M9" s="2">
        <f>Table3813[[#This Row],[normRpm]]*Table3813[[#This Row],[torque]]/0.72</f>
        <v>0.89962121212121215</v>
      </c>
      <c r="N9" s="7">
        <f>Table3813[[#This Row],[RPM]]*Table3813[[#This Row],[torque]]*Table2712[torqueScale]/9548</f>
        <v>457.88646837033934</v>
      </c>
      <c r="O9" s="7">
        <f>Table3813[[#This Row],[kW]]*1.36</f>
        <v>622.7255969836616</v>
      </c>
    </row>
    <row r="10" spans="1:18" x14ac:dyDescent="0.25">
      <c r="A10" t="s">
        <v>47</v>
      </c>
      <c r="B10" s="3">
        <f>B9*Table2712[ratio]</f>
        <v>67.235531670964662</v>
      </c>
      <c r="C10" s="4">
        <f>Table1611[[#This Row],[speed]]*Table2712[maxPower]/Table2712[ratedRpm]</f>
        <v>67.235531670964662</v>
      </c>
      <c r="D10" s="4">
        <f>850*Table1611[[#This Row],[speed]]/Table2712[ratedRpm]</f>
        <v>25.977364509236345</v>
      </c>
      <c r="E10" s="5">
        <f>Table2712[ratedRpm]*10/Table1611[[#This Row],[speed]]</f>
        <v>327.20794278333329</v>
      </c>
      <c r="F10" s="5">
        <f>Table2712[ratedRpm]*15/Table1611[[#This Row],[speed]]</f>
        <v>490.81191417499997</v>
      </c>
      <c r="G10" s="5">
        <f>Table2712[ratedRpm]*25/Table1611[[#This Row],[speed]]</f>
        <v>818.01985695833332</v>
      </c>
      <c r="H10" s="5">
        <f>Table2712[ratedRpm]*42/Table1611[[#This Row],[speed]]</f>
        <v>1374.27335969</v>
      </c>
      <c r="J10">
        <f>Table3813[[#This Row],[RPM]]/Table2712[ratedRpm]</f>
        <v>1</v>
      </c>
      <c r="K10">
        <v>0.63</v>
      </c>
      <c r="L10">
        <v>2200</v>
      </c>
      <c r="M10" s="2">
        <f>Table3813[[#This Row],[normRpm]]*Table3813[[#This Row],[torque]]/0.72</f>
        <v>0.875</v>
      </c>
      <c r="N10" s="7">
        <f>Table3813[[#This Row],[RPM]]*Table3813[[#This Row],[torque]]*Table2712[torqueScale]/9548</f>
        <v>445.35483870967744</v>
      </c>
      <c r="O10" s="7">
        <f>Table3813[[#This Row],[kW]]*1.36</f>
        <v>605.68258064516135</v>
      </c>
    </row>
    <row r="11" spans="1:18" x14ac:dyDescent="0.25">
      <c r="A11" t="s">
        <v>48</v>
      </c>
      <c r="B11" s="3">
        <f>B10*Table2712[ratio]</f>
        <v>81.556699916880135</v>
      </c>
      <c r="C11" s="4">
        <f>Table1611[[#This Row],[speed]]*Table2712[maxPower]/Table2712[ratedRpm]</f>
        <v>81.556699916880135</v>
      </c>
      <c r="D11" s="4">
        <f>850*Table1611[[#This Row],[speed]]/Table2712[ratedRpm]</f>
        <v>31.51054314970369</v>
      </c>
      <c r="E11" s="5">
        <f>Table2712[ratedRpm]*10/Table1611[[#This Row],[speed]]</f>
        <v>269.75098333333329</v>
      </c>
      <c r="F11" s="5">
        <f>Table2712[ratedRpm]*15/Table1611[[#This Row],[speed]]</f>
        <v>404.62647499999997</v>
      </c>
      <c r="G11" s="5">
        <f>Table2712[ratedRpm]*25/Table1611[[#This Row],[speed]]</f>
        <v>674.37745833333327</v>
      </c>
      <c r="H11" s="5">
        <f>Table2712[ratedRpm]*42/Table1611[[#This Row],[speed]]</f>
        <v>1132.9541299999999</v>
      </c>
      <c r="J11">
        <f>Table3813[[#This Row],[RPM]]/Table2712[ratedRpm]</f>
        <v>1.1363636363636365</v>
      </c>
      <c r="K11">
        <v>0.2</v>
      </c>
      <c r="L11">
        <v>2500</v>
      </c>
      <c r="M11" s="2">
        <f>Table3813[[#This Row],[normRpm]]*Table3813[[#This Row],[torque]]/0.72</f>
        <v>0.31565656565656569</v>
      </c>
      <c r="N11" s="7">
        <f>Table3813[[#This Row],[RPM]]*Table3813[[#This Row],[torque]]*Table2712[torqueScale]/9548</f>
        <v>160.66191872643486</v>
      </c>
      <c r="O11" s="7">
        <f>Table3813[[#This Row],[kW]]*1.36</f>
        <v>218.50020946795144</v>
      </c>
    </row>
    <row r="12" spans="1:18" x14ac:dyDescent="0.25">
      <c r="A12" t="s">
        <v>49</v>
      </c>
      <c r="B12" s="3">
        <f>B11*Table2712[ratio]</f>
        <v>98.928276999175608</v>
      </c>
      <c r="C12" s="4">
        <f>Table1611[[#This Row],[speed]]*Table2712[maxPower]/Table2712[ratedRpm]</f>
        <v>98.928276999175608</v>
      </c>
      <c r="D12" s="4">
        <f>850*Table1611[[#This Row],[speed]]/Table2712[ratedRpm]</f>
        <v>38.222288840590572</v>
      </c>
      <c r="E12" s="5">
        <f>Table2712[ratedRpm]*10/Table1611[[#This Row],[speed]]</f>
        <v>222.3833333333333</v>
      </c>
      <c r="F12" s="5">
        <f>Table2712[ratedRpm]*15/Table1611[[#This Row],[speed]]</f>
        <v>333.57499999999999</v>
      </c>
      <c r="G12" s="5">
        <f>Table2712[ratedRpm]*25/Table1611[[#This Row],[speed]]</f>
        <v>555.95833333333326</v>
      </c>
      <c r="H12" s="5">
        <f>Table2712[ratedRpm]*42/Table1611[[#This Row],[speed]]</f>
        <v>934.00999999999988</v>
      </c>
    </row>
    <row r="13" spans="1:18" x14ac:dyDescent="0.25">
      <c r="A13" t="s">
        <v>50</v>
      </c>
      <c r="B13" s="4">
        <f>B12*Table2712[ratio]</f>
        <v>120.00000000000001</v>
      </c>
      <c r="C13" s="4">
        <f>Table1611[[#This Row],[speed]]*Table2712[maxPower]/Table2712[ratedRpm]</f>
        <v>120.00000000000003</v>
      </c>
      <c r="D13" s="4">
        <f>850*Table1611[[#This Row],[speed]]/Table2712[ratedRpm]</f>
        <v>46.363636363636367</v>
      </c>
      <c r="E13" s="5">
        <f>Table2712[ratedRpm]*10/Table1611[[#This Row],[speed]]</f>
        <v>183.33333333333331</v>
      </c>
      <c r="F13" s="5">
        <f>Table2712[ratedRpm]*15/Table1611[[#This Row],[speed]]</f>
        <v>274.99999999999994</v>
      </c>
      <c r="G13" s="5">
        <f>Table2712[ratedRpm]*25/Table1611[[#This Row],[speed]]</f>
        <v>458.33333333333326</v>
      </c>
      <c r="H13" s="5">
        <f>Table2712[ratedRpm]*42/Table1611[[#This Row],[speed]]</f>
        <v>769.99999999999989</v>
      </c>
    </row>
  </sheetData>
  <conditionalFormatting sqref="E2">
    <cfRule type="cellIs" dxfId="13" priority="2" operator="between">
      <formula>$L$9</formula>
      <formula>$L$11</formula>
    </cfRule>
  </conditionalFormatting>
  <conditionalFormatting sqref="E2:H13">
    <cfRule type="cellIs" dxfId="12" priority="1" operator="between">
      <formula>$L$9</formula>
      <formula>$O$2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4x4 42 kmh</vt:lpstr>
      <vt:lpstr>4x4 58 kmh</vt:lpstr>
      <vt:lpstr>2x6 120 kmh</vt:lpstr>
      <vt:lpstr>Shifter 120 kmh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2019-01-12T07:38:06Z</dcterms:created>
  <dcterms:modified xsi:type="dcterms:W3CDTF">2019-01-16T14:19:30Z</dcterms:modified>
</cp:coreProperties>
</file>