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150" documentId="13_ncr:1_{546DA51F-31C0-489F-B5C2-6558F2391665}" xr6:coauthVersionLast="41" xr6:coauthVersionMax="41" xr10:uidLastSave="{9D2188A9-155C-44F2-9141-2C693D8533C1}"/>
  <bookViews>
    <workbookView xWindow="28680" yWindow="-120" windowWidth="29040" windowHeight="158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DDI!$A$1:$AM$178</definedName>
    <definedName name="_xlnm._FilterDatabase" localSheetId="1" hidden="1">'PK-Parameter'!$A$1:$AD$645</definedName>
    <definedName name="_xlnm._FilterDatabase" localSheetId="2" hidden="1">'PK-Profiles'!$A$1:$Q$9427</definedName>
    <definedName name="_xlnm._FilterDatabase" localSheetId="6" hidden="1">Projects!$A$1:$F$944</definedName>
    <definedName name="_xlnm._FilterDatabase" localSheetId="0" hidden="1">Studies!$A$2:$BR$985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L168" i="4" l="1"/>
  <c r="J168" i="4"/>
  <c r="L166" i="4"/>
  <c r="J166" i="4"/>
  <c r="J17" i="4" l="1"/>
  <c r="J18" i="4" l="1"/>
  <c r="J145" i="4" l="1"/>
  <c r="J141" i="4"/>
  <c r="N65" i="4" l="1"/>
  <c r="N64" i="4"/>
  <c r="N63" i="4"/>
  <c r="L65" i="4"/>
  <c r="L64" i="4"/>
  <c r="L63" i="4"/>
  <c r="J65" i="4"/>
  <c r="J64" i="4"/>
  <c r="J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20" i="4"/>
  <c r="J119" i="4"/>
  <c r="G119" i="4"/>
  <c r="I119" i="4"/>
  <c r="G120" i="4"/>
  <c r="I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2" i="4" l="1"/>
  <c r="N151" i="4" l="1"/>
  <c r="N150" i="4"/>
  <c r="N149" i="4"/>
  <c r="N148" i="4"/>
  <c r="L149" i="4"/>
  <c r="L148" i="4"/>
  <c r="J149" i="4"/>
  <c r="J148"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4" i="4"/>
  <c r="I169" i="4"/>
  <c r="I170" i="4"/>
  <c r="I171" i="4"/>
  <c r="I172" i="4"/>
  <c r="I173" i="4"/>
  <c r="I174" i="4"/>
  <c r="I175" i="4"/>
  <c r="I176" i="4"/>
  <c r="I177" i="4"/>
  <c r="I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3" i="4"/>
  <c r="I141" i="4"/>
  <c r="I142" i="4"/>
  <c r="I146" i="4"/>
  <c r="I140" i="4"/>
  <c r="I131" i="4"/>
  <c r="I132" i="4"/>
  <c r="I127" i="4"/>
  <c r="I128" i="4"/>
  <c r="I129" i="4"/>
  <c r="I130" i="4"/>
  <c r="I137" i="4"/>
  <c r="I138" i="4"/>
  <c r="I139" i="4"/>
  <c r="I121" i="4"/>
  <c r="I122" i="4"/>
  <c r="I133" i="4"/>
  <c r="I134" i="4"/>
  <c r="I135" i="4"/>
  <c r="I136" i="4"/>
  <c r="I125" i="4"/>
  <c r="I126" i="4"/>
  <c r="I123" i="4"/>
  <c r="I144" i="4"/>
  <c r="I147" i="4"/>
  <c r="I124" i="4"/>
  <c r="I155" i="4"/>
  <c r="I156" i="4"/>
  <c r="I157" i="4"/>
  <c r="I165" i="4"/>
  <c r="I166" i="4"/>
  <c r="I167" i="4"/>
  <c r="I168" i="4"/>
  <c r="I153" i="4"/>
  <c r="I159" i="4"/>
  <c r="I160" i="4"/>
  <c r="I161" i="4"/>
  <c r="I162" i="4"/>
  <c r="I163" i="4"/>
  <c r="I164" i="4"/>
  <c r="I148" i="4"/>
  <c r="I149" i="4"/>
  <c r="I150" i="4"/>
  <c r="I151" i="4"/>
  <c r="I152" i="4"/>
  <c r="I158" i="4"/>
  <c r="I145"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138" i="4"/>
  <c r="G139" i="4"/>
  <c r="G121" i="4"/>
  <c r="G122" i="4"/>
  <c r="G133" i="4"/>
  <c r="G134" i="4"/>
  <c r="G135" i="4"/>
  <c r="G136" i="4"/>
  <c r="G125" i="4"/>
  <c r="G126" i="4"/>
  <c r="G123" i="4"/>
  <c r="G144" i="4"/>
  <c r="G147" i="4"/>
  <c r="G124" i="4"/>
  <c r="G155" i="4"/>
  <c r="G156" i="4"/>
  <c r="G157" i="4"/>
  <c r="G165" i="4"/>
  <c r="G166" i="4"/>
  <c r="G167" i="4"/>
  <c r="G168" i="4"/>
  <c r="G153" i="4"/>
  <c r="G159" i="4"/>
  <c r="G160" i="4"/>
  <c r="G161" i="4"/>
  <c r="G162" i="4"/>
  <c r="G163" i="4"/>
  <c r="G164" i="4"/>
  <c r="G148" i="4"/>
  <c r="G149" i="4"/>
  <c r="G150" i="4"/>
  <c r="G151" i="4"/>
  <c r="G152" i="4"/>
  <c r="G158" i="4"/>
  <c r="G145"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138" i="4"/>
  <c r="E139" i="4"/>
  <c r="E121" i="4"/>
  <c r="E122" i="4"/>
  <c r="E133" i="4"/>
  <c r="E134" i="4"/>
  <c r="E135" i="4"/>
  <c r="E136" i="4"/>
  <c r="E125" i="4"/>
  <c r="E126" i="4"/>
  <c r="E123" i="4"/>
  <c r="E144" i="4"/>
  <c r="E147" i="4"/>
  <c r="E124" i="4"/>
  <c r="E155" i="4"/>
  <c r="E156" i="4"/>
  <c r="E157" i="4"/>
  <c r="E165" i="4"/>
  <c r="E166" i="4"/>
  <c r="E167" i="4"/>
  <c r="E168" i="4"/>
  <c r="E153" i="4"/>
  <c r="E159" i="4"/>
  <c r="E160" i="4"/>
  <c r="E161" i="4"/>
  <c r="E162" i="4"/>
  <c r="E163" i="4"/>
  <c r="E164" i="4"/>
  <c r="E148" i="4"/>
  <c r="E149"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138" i="4"/>
  <c r="C138" i="4"/>
  <c r="D138" i="4"/>
  <c r="B139" i="4"/>
  <c r="C139" i="4"/>
  <c r="D139" i="4"/>
  <c r="B121" i="4"/>
  <c r="C121" i="4"/>
  <c r="D121" i="4"/>
  <c r="B122" i="4"/>
  <c r="C122" i="4"/>
  <c r="D122" i="4"/>
  <c r="B133" i="4"/>
  <c r="C133" i="4"/>
  <c r="D133" i="4"/>
  <c r="B134" i="4"/>
  <c r="C134" i="4"/>
  <c r="D134" i="4"/>
  <c r="B135" i="4"/>
  <c r="C135" i="4"/>
  <c r="D135" i="4"/>
  <c r="B136" i="4"/>
  <c r="C136" i="4"/>
  <c r="D136"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166" i="4"/>
  <c r="C166" i="4"/>
  <c r="D166" i="4"/>
  <c r="B167" i="4"/>
  <c r="C167" i="4"/>
  <c r="D167" i="4"/>
  <c r="B168" i="4"/>
  <c r="C168" i="4"/>
  <c r="D168" i="4"/>
  <c r="B153" i="4"/>
  <c r="C153" i="4"/>
  <c r="D153" i="4"/>
  <c r="B159" i="4"/>
  <c r="C159" i="4"/>
  <c r="D159" i="4"/>
  <c r="B160" i="4"/>
  <c r="C160" i="4"/>
  <c r="D160" i="4"/>
  <c r="B161" i="4"/>
  <c r="C161" i="4"/>
  <c r="D161" i="4"/>
  <c r="B162" i="4"/>
  <c r="C162" i="4"/>
  <c r="D162" i="4"/>
  <c r="B163" i="4"/>
  <c r="C163" i="4"/>
  <c r="D163" i="4"/>
  <c r="B164" i="4"/>
  <c r="C164" i="4"/>
  <c r="D164" i="4"/>
  <c r="B148" i="4"/>
  <c r="C148" i="4"/>
  <c r="D148" i="4"/>
  <c r="B149" i="4"/>
  <c r="C149" i="4"/>
  <c r="D149"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5" i="4" l="1"/>
  <c r="N145" i="4"/>
  <c r="G548" i="9"/>
  <c r="G549" i="9"/>
  <c r="G547" i="9"/>
  <c r="J152" i="4" l="1"/>
  <c r="P136" i="4" l="1"/>
  <c r="N136" i="4"/>
  <c r="L136" i="4"/>
  <c r="L134" i="4"/>
  <c r="J136" i="4"/>
  <c r="S559" i="9"/>
  <c r="P559" i="9"/>
  <c r="L559" i="9"/>
  <c r="I559" i="9"/>
  <c r="J134" i="4"/>
  <c r="L556" i="9"/>
  <c r="I556" i="9"/>
  <c r="I504" i="9" l="1"/>
  <c r="L504" i="9"/>
  <c r="I507" i="9"/>
  <c r="L507" i="9"/>
  <c r="G523" i="9"/>
  <c r="G524" i="9"/>
  <c r="G525" i="9"/>
  <c r="L132" i="4"/>
  <c r="L131" i="4"/>
  <c r="P131" i="4"/>
  <c r="P132" i="4"/>
  <c r="N132" i="4"/>
  <c r="N131" i="4"/>
  <c r="J131" i="4"/>
  <c r="J132" i="4"/>
  <c r="AB823" i="1" l="1"/>
  <c r="AB824" i="1"/>
  <c r="AB825" i="1"/>
  <c r="AB822" i="1"/>
  <c r="N164" i="4" l="1"/>
  <c r="N163" i="4"/>
  <c r="N162" i="4"/>
  <c r="N161" i="4"/>
  <c r="N160" i="4"/>
  <c r="N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J91" i="4"/>
  <c r="G270" i="9"/>
  <c r="G273" i="9"/>
  <c r="N3" i="4"/>
  <c r="N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<sst xmlns="http://schemas.openxmlformats.org/spreadsheetml/2006/main" count="67379" uniqueCount="3007">
  <si>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</si>
  <si>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</si>
  <si>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</si>
  <si>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</si>
  <si>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</si>
  <si>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</si>
  <si>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</si>
  <si>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</si>
  <si>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</si>
  <si>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</si>
  <si>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</si>
  <si>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</si>
  <si>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</si>
  <si>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</si>
  <si>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</si>
  <si>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</si>
  <si>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</si>
  <si>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</si>
  <si>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</si>
  <si>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</si>
  <si>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</si>
  <si>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</si>
  <si>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</si>
  <si>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</si>
  <si>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</si>
  <si>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</si>
  <si>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</si>
  <si>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</si>
  <si>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</si>
  <si>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</si>
  <si>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</si>
  <si>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</si>
  <si>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</si>
  <si>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</si>
  <si>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</si>
  <si>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</si>
  <si>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</si>
  <si>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</si>
  <si>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</si>
  <si>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</si>
  <si>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</si>
  <si>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</si>
  <si>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</si>
  <si>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</si>
  <si>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</si>
  <si>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</si>
  <si>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</si>
  <si>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</si>
  <si>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</si>
  <si>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</si>
  <si>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</si>
  <si>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</si>
  <si>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</si>
  <si>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</si>
  <si>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</si>
  <si>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</si>
  <si>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</si>
  <si>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</si>
  <si>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</si>
  <si>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</si>
  <si>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</si>
  <si>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</si>
  <si>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</si>
  <si>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</si>
  <si>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</si>
  <si>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</si>
  <si>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</si>
  <si>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</si>
  <si>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</si>
  <si>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</si>
  <si>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</si>
  <si>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</si>
  <si>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</si>
  <si>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</si>
  <si>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</si>
  <si>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</si>
  <si>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</si>
  <si>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</si>
  <si>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</si>
  <si>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</si>
  <si>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</si>
  <si>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</si>
  <si>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</si>
  <si>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</si>
  <si>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</si>
  <si>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</si>
  <si>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</si>
  <si>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</si>
  <si>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</si>
  <si>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</si>
  <si>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</si>
  <si>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</si>
  <si>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</si>
  <si>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</si>
  <si>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</si>
  <si>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</si>
  <si>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</si>
  <si>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</si>
  <si>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</si>
  <si>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</si>
  <si>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</si>
  <si>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</si>
  <si>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</si>
  <si>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</si>
  <si>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</si>
  <si>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</si>
  <si>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</si>
  <si>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</si>
  <si>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</si>
  <si>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</si>
  <si>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</si>
  <si>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</si>
  <si>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</si>
  <si>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</si>
  <si>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</si>
  <si>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</si>
  <si>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</si>
  <si>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</si>
  <si>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</si>
  <si>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</si>
  <si>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</si>
  <si>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</si>
  <si>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</si>
  <si>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</si>
  <si>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</si>
  <si>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</si>
  <si>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</si>
  <si>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</si>
  <si>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</si>
  <si>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</si>
  <si>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</si>
  <si>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</si>
  <si>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</si>
  <si>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</si>
  <si>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</si>
  <si>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</si>
  <si>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</si>
  <si>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</si>
  <si>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</si>
  <si>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</si>
  <si>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</si>
  <si>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</si>
  <si>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</si>
  <si>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</si>
  <si>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</si>
  <si>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</si>
  <si>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</si>
  <si>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</si>
  <si>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</si>
  <si>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</si>
  <si>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</si>
  <si>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</si>
  <si>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</si>
  <si>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</si>
  <si>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</si>
  <si>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</si>
  <si>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</si>
  <si>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</si>
  <si>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</si>
  <si>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</si>
  <si>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</si>
  <si>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</si>
  <si>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</si>
  <si>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</si>
  <si>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</si>
  <si>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</si>
  <si>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</si>
  <si>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</si>
  <si>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</si>
  <si>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</si>
  <si>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</si>
  <si>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</si>
  <si>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</si>
  <si>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</si>
  <si>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</si>
  <si>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</si>
  <si>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</si>
  <si>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</si>
  <si>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</si>
  <si>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</si>
  <si>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</si>
  <si>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</si>
  <si>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</si>
  <si>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</si>
  <si>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</si>
  <si>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</si>
  <si>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</si>
  <si>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</si>
  <si>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</si>
  <si>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</si>
  <si>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</si>
  <si>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</si>
  <si>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</si>
  <si>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</si>
  <si>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</si>
  <si>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</si>
  <si>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</si>
  <si>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</si>
  <si>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</si>
  <si>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</si>
  <si>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</si>
  <si>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</si>
  <si>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</si>
  <si>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</si>
  <si>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</si>
  <si>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</si>
  <si>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</si>
  <si>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</si>
  <si>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</si>
  <si>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</si>
  <si>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</si>
  <si>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</si>
  <si>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</si>
  <si>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</si>
  <si>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</si>
  <si>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</si>
  <si>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</si>
  <si>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</si>
  <si>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</si>
  <si>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</si>
  <si>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</si>
  <si>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</si>
  <si>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</si>
  <si>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</si>
  <si>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</si>
  <si>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</si>
  <si>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</si>
  <si>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</si>
  <si>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</si>
  <si>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</si>
  <si>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</si>
  <si>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</si>
  <si>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</si>
  <si>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</si>
  <si>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</si>
  <si>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</si>
  <si>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</si>
  <si>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</si>
  <si>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</si>
  <si>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</si>
  <si>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</si>
  <si>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</si>
  <si>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</si>
  <si>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</si>
  <si>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</si>
  <si>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</si>
  <si>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</si>
  <si>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</si>
  <si>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</si>
  <si>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</si>
  <si>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</si>
  <si>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</si>
  <si>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</si>
  <si>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</si>
  <si>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</si>
  <si>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</si>
  <si>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</si>
  <si>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</si>
  <si>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</si>
  <si>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</si>
  <si>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</si>
  <si>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</si>
  <si>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</si>
  <si>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</si>
  <si>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</si>
  <si>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</si>
  <si>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</si>
  <si>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</si>
  <si>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</si>
  <si>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</si>
  <si>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</si>
  <si>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</si>
  <si>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</si>
  <si>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</si>
  <si>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</si>
  <si>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</si>
  <si>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</si>
  <si>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</si>
  <si>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</si>
  <si>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</si>
  <si>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</si>
  <si>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</si>
  <si>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</si>
  <si>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</si>
  <si>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</si>
  <si>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</si>
  <si>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</si>
  <si>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</si>
  <si>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</si>
  <si>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</si>
  <si>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</si>
  <si>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</si>
  <si>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</si>
  <si>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</si>
  <si>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</si>
  <si>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</si>
  <si>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</si>
  <si>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</si>
  <si>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</si>
  <si>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</si>
  <si>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</si>
  <si>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</si>
  <si>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</si>
  <si>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</si>
  <si>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</si>
  <si>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</si>
  <si>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</si>
  <si>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</si>
  <si>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</si>
  <si>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</si>
  <si>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</si>
  <si>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</si>
  <si>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</si>
  <si>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</si>
  <si>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</si>
  <si>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</si>
  <si>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</si>
  <si>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</si>
  <si>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</si>
  <si>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</si>
  <si>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</si>
  <si>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</si>
  <si>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</si>
  <si>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</si>
  <si>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</si>
  <si>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</si>
  <si>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</si>
  <si>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</si>
  <si>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</si>
  <si>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</si>
  <si>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</si>
  <si>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</si>
  <si>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</si>
  <si>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</si>
  <si>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</si>
  <si>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</si>
  <si>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</si>
  <si>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</si>
  <si>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</si>
  <si>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</si>
  <si>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</si>
  <si>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</si>
  <si>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</si>
  <si>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</si>
  <si>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</si>
  <si>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</si>
  <si>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</si>
  <si>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</si>
  <si>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</si>
  <si>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</si>
  <si>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</si>
  <si>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</si>
  <si>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</si>
  <si>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</si>
  <si>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</si>
  <si>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</si>
  <si>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</si>
  <si>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</si>
  <si>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</si>
  <si>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</si>
  <si>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</si>
  <si>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</si>
  <si>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</si>
  <si>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</si>
  <si>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</si>
  <si>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</si>
  <si>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</si>
  <si>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</si>
  <si>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</si>
  <si>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</si>
  <si>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</si>
  <si>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</si>
  <si>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</si>
  <si>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</si>
  <si>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</si>
  <si>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</si>
  <si>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</si>
  <si>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</si>
  <si>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</si>
  <si>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</si>
  <si>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</si>
  <si>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</si>
  <si>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</si>
  <si>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</si>
  <si>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</si>
  <si>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</si>
  <si>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</si>
  <si>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</si>
  <si>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</si>
  <si>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</si>
  <si>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</si>
  <si>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</si>
  <si>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</si>
  <si>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</si>
  <si>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</si>
  <si>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</si>
  <si>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</si>
  <si>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</si>
  <si>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</si>
  <si>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</si>
  <si>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</si>
  <si>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</si>
  <si>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</si>
  <si>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</si>
  <si>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</si>
  <si>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</si>
  <si>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</si>
  <si>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</si>
  <si>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</si>
  <si>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</si>
  <si>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</si>
  <si>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</si>
  <si>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</si>
  <si>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</si>
  <si>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</si>
  <si>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</si>
  <si>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</si>
  <si>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</si>
  <si>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</si>
  <si>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</si>
  <si>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</si>
  <si>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</si>
  <si>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</si>
  <si>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</si>
  <si>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</si>
  <si>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</si>
  <si>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</si>
  <si>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</si>
  <si>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</si>
  <si>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</si>
  <si>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</si>
  <si>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</si>
  <si>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</si>
  <si>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</si>
  <si>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</si>
  <si>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</si>
  <si>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</si>
  <si>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</si>
  <si>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</si>
  <si>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</si>
  <si>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</si>
  <si>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</si>
  <si>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</si>
  <si>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</si>
  <si>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</si>
  <si>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</si>
  <si>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</si>
  <si>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</si>
  <si>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</si>
  <si>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</si>
  <si>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</si>
  <si>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</si>
  <si>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</si>
  <si>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</si>
  <si>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</si>
  <si>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</si>
  <si>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</si>
  <si>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</si>
  <si>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</si>
  <si>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</si>
  <si>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</si>
  <si>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</si>
  <si>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</si>
  <si>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</si>
  <si>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</si>
  <si>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</si>
  <si>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</si>
  <si>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</si>
  <si>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</si>
  <si>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</si>
  <si>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</si>
  <si>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</si>
  <si>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</si>
  <si>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</si>
  <si>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</si>
  <si>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</si>
  <si>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</si>
  <si>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</si>
  <si>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</si>
  <si>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</si>
  <si>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</si>
  <si>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</si>
  <si>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</si>
  <si>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</si>
  <si>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</si>
  <si>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</si>
  <si>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</si>
  <si>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</si>
  <si>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</si>
  <si>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</si>
  <si>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</si>
  <si>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</si>
  <si>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</si>
  <si>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</si>
  <si>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</si>
  <si>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</si>
  <si>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</si>
  <si>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</si>
  <si>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</si>
  <si>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</si>
  <si>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</si>
  <si>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</si>
  <si>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</si>
  <si>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</si>
  <si>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</si>
  <si>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</si>
  <si>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</si>
  <si>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</si>
  <si>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</si>
  <si>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</si>
  <si>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</si>
  <si>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</si>
  <si>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</si>
  <si>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</si>
  <si>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</si>
  <si>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</si>
  <si>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</si>
  <si>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</si>
  <si>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</si>
  <si>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</si>
  <si>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</si>
  <si>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</si>
  <si>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</si>
  <si>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</si>
  <si>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</si>
  <si>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</si>
  <si>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</si>
  <si>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</si>
  <si>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</si>
  <si>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</si>
  <si>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</si>
  <si>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</si>
  <si>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</si>
  <si>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</si>
  <si>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</si>
  <si>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</si>
  <si>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</si>
  <si>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</si>
  <si>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</si>
  <si>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</si>
  <si>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</si>
  <si>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</si>
  <si>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</si>
  <si>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</si>
  <si>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</si>
  <si>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</si>
  <si>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</si>
  <si>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</si>
  <si>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</si>
  <si>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</si>
  <si>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</si>
  <si>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</si>
  <si>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</si>
  <si>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</si>
  <si>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</si>
  <si>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</si>
  <si>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</si>
  <si>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</si>
  <si>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</si>
  <si>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</si>
  <si>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</si>
  <si>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</si>
  <si>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</si>
  <si>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</si>
  <si>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</si>
  <si>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</si>
  <si>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</si>
  <si>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</si>
  <si>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</si>
  <si>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</si>
  <si>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</si>
  <si>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</si>
  <si>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</si>
  <si>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</si>
  <si>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</si>
  <si>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</si>
  <si>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</si>
  <si>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</si>
  <si>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</si>
  <si>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</si>
  <si>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</si>
  <si>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</si>
  <si>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</si>
  <si>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</si>
  <si>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</si>
  <si>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</si>
  <si>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</si>
  <si>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</si>
  <si>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</si>
  <si>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</si>
  <si>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</si>
  <si>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</si>
  <si>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</si>
  <si>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</si>
  <si>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</si>
  <si>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</si>
  <si>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</si>
  <si>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</si>
  <si>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</si>
  <si>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</si>
  <si>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</si>
  <si>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</si>
  <si>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</si>
  <si>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</si>
  <si>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</si>
  <si>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</si>
  <si>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</si>
  <si>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</si>
  <si>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</si>
  <si>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</si>
  <si>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</si>
  <si>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</si>
  <si>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</si>
  <si>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</si>
  <si>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</si>
  <si>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</si>
  <si>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</si>
  <si>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</si>
  <si>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</si>
  <si>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</si>
  <si>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</si>
  <si>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</si>
  <si>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</si>
  <si>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</si>
  <si>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</si>
  <si>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</si>
  <si>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</si>
  <si>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</si>
  <si>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</si>
  <si>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</si>
  <si>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</si>
  <si>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</si>
  <si>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</si>
  <si>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</si>
  <si>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</si>
  <si>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</si>
  <si>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</si>
  <si>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</si>
  <si>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</si>
  <si>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</si>
  <si>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</si>
  <si>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</si>
  <si>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</si>
  <si>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</si>
  <si>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</si>
  <si>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</si>
  <si>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</si>
  <si>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</si>
  <si>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</si>
  <si>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</si>
  <si>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</si>
  <si>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</si>
  <si>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</si>
  <si>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</si>
  <si>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</si>
  <si>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</si>
  <si>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</si>
  <si>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</si>
  <si>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</si>
  <si>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</si>
  <si>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</si>
  <si>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</si>
  <si>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</si>
  <si>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</si>
  <si>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</si>
  <si>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</si>
  <si>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</si>
  <si>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</si>
  <si>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</si>
  <si>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</si>
  <si>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</si>
  <si>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</si>
  <si>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</si>
  <si>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</si>
  <si>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</si>
  <si>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</si>
  <si>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</si>
  <si>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</si>
  <si>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</si>
  <si>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</si>
  <si>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</si>
  <si>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</si>
  <si>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</si>
  <si>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</si>
  <si>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</si>
  <si>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</si>
  <si>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</si>
  <si>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</si>
  <si>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</si>
  <si>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</si>
  <si>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</si>
  <si>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</si>
  <si>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</si>
  <si>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</si>
  <si>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</si>
  <si>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</si>
  <si>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</si>
  <si>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</si>
  <si>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</si>
  <si>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</si>
  <si>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</si>
  <si>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</si>
  <si>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</si>
  <si>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</si>
  <si>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</si>
  <si>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</si>
  <si>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</si>
  <si>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</si>
  <si>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</si>
  <si>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</si>
  <si>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</si>
  <si>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</si>
  <si>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</si>
  <si>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</si>
  <si>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</si>
  <si>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</si>
  <si>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</si>
  <si>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</si>
  <si>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</si>
  <si>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</si>
  <si>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</si>
  <si>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</si>
  <si>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</si>
  <si>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</si>
  <si>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</si>
  <si>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</si>
  <si>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</si>
  <si>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</si>
  <si>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</si>
  <si>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</si>
  <si>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</si>
  <si>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</si>
  <si>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</si>
  <si>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</si>
  <si>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</si>
  <si>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</si>
  <si>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</si>
  <si>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</si>
  <si>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</si>
  <si>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</si>
  <si>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</si>
  <si>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</si>
  <si>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</si>
  <si>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</si>
  <si>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</si>
  <si>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</si>
  <si>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</si>
  <si>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</si>
  <si>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</si>
  <si>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</si>
  <si>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</si>
  <si>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</si>
  <si>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</si>
  <si>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</si>
  <si>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</si>
  <si>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</si>
  <si>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</si>
  <si>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</si>
  <si>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</si>
  <si>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</si>
  <si>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</si>
  <si>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</si>
  <si>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</si>
  <si>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</si>
  <si>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</si>
  <si>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</si>
  <si>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</si>
  <si>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</si>
  <si>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</si>
  <si>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</si>
  <si>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</si>
  <si>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</si>
  <si>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</si>
  <si>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</si>
  <si>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</si>
  <si>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</si>
  <si>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</si>
  <si>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</si>
  <si>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</si>
  <si>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</si>
  <si>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</si>
  <si>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</si>
  <si>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</si>
  <si>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</si>
  <si>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</si>
  <si>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</si>
  <si>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</si>
  <si>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</si>
  <si>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</si>
  <si>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</si>
  <si>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</si>
  <si>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</si>
  <si>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</si>
  <si>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</si>
  <si>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</si>
  <si>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</si>
  <si>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</si>
  <si>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</si>
  <si>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</si>
  <si>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</si>
  <si>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</si>
  <si>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</si>
  <si>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</si>
  <si>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</si>
  <si>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</si>
  <si>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</si>
  <si>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</si>
  <si>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</si>
  <si>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</si>
  <si>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</si>
  <si>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</si>
  <si>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</si>
  <si>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</si>
  <si>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</si>
  <si>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</si>
  <si>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</si>
  <si>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</si>
  <si>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</si>
  <si>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</si>
  <si>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</si>
  <si>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</si>
  <si>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</si>
  <si>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</si>
  <si>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</si>
  <si>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</si>
  <si>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</si>
  <si>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</si>
  <si>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</si>
  <si>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</si>
  <si>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</si>
  <si>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</si>
  <si>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</si>
  <si>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</si>
  <si>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</si>
  <si>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</si>
  <si>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</si>
  <si>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</si>
  <si>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</si>
  <si>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</si>
  <si>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</si>
  <si>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</si>
  <si>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</si>
  <si>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</si>
  <si>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</si>
  <si>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</si>
  <si>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</si>
  <si>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</si>
  <si>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</si>
  <si>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</si>
  <si>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</si>
  <si>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</si>
  <si>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</si>
  <si>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</si>
  <si>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</si>
  <si>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</si>
  <si>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</si>
  <si>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</si>
  <si>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</si>
  <si>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</si>
  <si>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</si>
  <si>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</si>
  <si>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</si>
  <si>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</si>
  <si>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</si>
  <si>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</si>
  <si>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</si>
  <si>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</si>
  <si>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</si>
  <si>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</si>
  <si>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</si>
  <si>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</si>
  <si>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</si>
  <si>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</si>
  <si>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</si>
  <si>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</si>
  <si>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</si>
  <si>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</si>
  <si>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</si>
  <si>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</si>
  <si>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</si>
  <si>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</si>
  <si>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</si>
  <si>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</si>
  <si>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</si>
  <si>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</si>
  <si>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</si>
  <si>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</si>
  <si>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</si>
  <si>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</si>
  <si>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</si>
  <si>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</si>
  <si>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</si>
  <si>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</si>
  <si>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</si>
  <si>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</si>
  <si>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</si>
  <si>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</si>
  <si>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</si>
  <si>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</si>
  <si>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</si>
  <si>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</si>
  <si>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</si>
  <si>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</si>
  <si>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</si>
  <si>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</si>
  <si>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</si>
  <si>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</si>
  <si>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</si>
  <si>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</si>
  <si>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</si>
  <si>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</si>
  <si>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</si>
  <si>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</si>
  <si>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</si>
  <si>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</si>
  <si>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</si>
  <si>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</si>
  <si>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</si>
  <si>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</si>
  <si>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</si>
  <si>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</si>
  <si>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</si>
  <si>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</si>
  <si>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</si>
  <si>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</si>
  <si>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</si>
  <si>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</si>
  <si>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</si>
  <si>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</si>
  <si>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</si>
  <si>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</si>
  <si>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</si>
  <si>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</si>
  <si>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</si>
  <si>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</si>
  <si>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</si>
  <si>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</si>
  <si>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</si>
  <si>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</si>
  <si>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</si>
  <si>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</si>
  <si>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</si>
  <si>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</si>
  <si>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</si>
  <si>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</si>
  <si>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</si>
  <si>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</si>
  <si>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</si>
  <si>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</si>
  <si>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</si>
  <si>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</si>
  <si>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</si>
  <si>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</si>
  <si>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</si>
  <si>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</si>
  <si>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</si>
  <si>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</si>
  <si>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</si>
  <si>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</si>
  <si>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</si>
  <si>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</si>
  <si>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</si>
  <si>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</si>
  <si>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</si>
  <si>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</si>
  <si>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</si>
  <si>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</si>
  <si>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</si>
  <si>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</si>
  <si>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</si>
  <si>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</si>
  <si>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</si>
  <si>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</si>
  <si>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</si>
  <si>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</si>
  <si>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</si>
  <si>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</si>
  <si>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</si>
  <si>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</si>
  <si>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</si>
  <si>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</si>
  <si>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</si>
  <si>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</si>
  <si>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</si>
  <si>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</si>
  <si>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</si>
  <si>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</si>
  <si>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</si>
  <si>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</si>
  <si>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</si>
  <si>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</si>
  <si>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</si>
  <si>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</si>
  <si>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</si>
  <si>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</si>
  <si>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</si>
  <si>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</si>
  <si>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</si>
  <si>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</si>
  <si>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</si>
  <si>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</si>
  <si>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</si>
  <si>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</si>
  <si>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</si>
  <si>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</si>
  <si>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</si>
  <si>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</si>
  <si>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</si>
  <si>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</si>
  <si>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</si>
  <si>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</si>
  <si>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</si>
  <si>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</si>
  <si>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</si>
  <si>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</si>
  <si>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</si>
  <si>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</si>
  <si>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</si>
  <si>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</si>
  <si>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</si>
  <si>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</si>
  <si>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</si>
  <si>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</si>
  <si>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</si>
  <si>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</si>
  <si>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</si>
  <si>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</si>
  <si>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</si>
  <si>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</si>
  <si>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</si>
  <si>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</si>
  <si>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</si>
  <si>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</si>
  <si>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</si>
  <si>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</si>
  <si>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</si>
  <si>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</si>
  <si>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</si>
  <si>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</si>
  <si>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</si>
  <si>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</si>
  <si>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</si>
  <si>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</si>
  <si>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</si>
  <si>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</si>
  <si>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</si>
  <si>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</si>
  <si>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</si>
  <si>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</si>
  <si>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</si>
  <si>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</si>
  <si>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</si>
  <si>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</si>
  <si>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</si>
  <si>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</si>
  <si>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</si>
  <si>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</si>
  <si>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</si>
  <si>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</si>
  <si>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</si>
  <si>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</si>
  <si>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</si>
  <si>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</si>
  <si>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</si>
  <si>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</si>
  <si>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</si>
  <si>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</si>
  <si>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</si>
  <si>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</si>
  <si>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</si>
  <si>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</si>
  <si>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</si>
  <si>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</si>
  <si>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</si>
  <si>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</si>
  <si>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</si>
  <si>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</si>
  <si>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</si>
  <si>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</si>
  <si>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</si>
  <si>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</si>
  <si>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</si>
  <si>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</si>
  <si>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</si>
  <si>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</si>
  <si>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</si>
  <si>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</si>
  <si>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</si>
  <si>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</si>
  <si>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</si>
  <si>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</si>
  <si>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</si>
  <si>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</si>
  <si>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</si>
  <si>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</si>
  <si>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</si>
  <si>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</si>
  <si>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</si>
  <si>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</si>
  <si>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</si>
  <si>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</si>
  <si>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</si>
  <si>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</si>
  <si>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</si>
  <si>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</si>
  <si>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</si>
  <si>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</si>
  <si>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</si>
  <si>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</si>
  <si>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</si>
  <si>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</si>
  <si>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</si>
  <si>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</si>
  <si>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</si>
  <si>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</si>
  <si>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</si>
  <si>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</si>
  <si>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</si>
  <si>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</si>
  <si>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</si>
  <si>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</si>
  <si>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</si>
  <si>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</si>
  <si>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</si>
  <si>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</si>
  <si>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</si>
  <si>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</si>
  <si>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</si>
  <si>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</si>
  <si>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</si>
  <si>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</si>
  <si>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</si>
  <si>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</si>
  <si>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</si>
  <si>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</si>
  <si>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</si>
  <si>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</si>
  <si>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</si>
  <si>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</si>
  <si>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</si>
  <si>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</si>
  <si>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</si>
  <si>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</si>
  <si>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</si>
  <si>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</si>
  <si>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</si>
  <si>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</si>
  <si>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</si>
  <si>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0-(S12-T-12-R13)</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</si>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</sst>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7">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xf numFmtId="0" fontId="13" fillId="0" borderId="0" xfId="4"/>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vmlDrawing" Target="../drawings/vmlDrawing1.vm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printerSettings" Target="../printerSettings/printerSettings1.bin"/><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985"/>
  <sheetViews>
    <sheetView tabSelected="1" zoomScale="90" zoomScaleNormal="90" workbookViewId="0">
      <pane xSplit="5" ySplit="2" topLeftCell="F972" activePane="bottomRight" state="frozen"/>
      <selection pane="topRight" activeCell="E1" sqref="E1"/>
      <selection pane="bottomLeft" activeCell="A3" sqref="A3"/>
      <selection pane="bottomRight" activeCell="A985" sqref="A985"/>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1389</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1390</v>
      </c>
    </row>
    <row r="51" spans="1:70" ht="14.25" customHeight="1" x14ac:dyDescent="0.2">
      <c r="A51" s="203">
        <v>49</v>
      </c>
      <c r="B51" s="229" t="s">
        <v>609</v>
      </c>
      <c r="C51" s="262" t="s">
        <v>1401</v>
      </c>
      <c r="D51" s="231" t="s">
        <v>199</v>
      </c>
      <c r="E51" s="123" t="s">
        <v>101</v>
      </c>
      <c r="F51" s="179" t="s">
        <v>102</v>
      </c>
      <c r="G51" s="179" t="s">
        <v>55</v>
      </c>
      <c r="H51" s="179" t="s">
        <v>56</v>
      </c>
      <c r="I51" s="179" t="s">
        <v>1331</v>
      </c>
      <c r="J51" s="176">
        <v>7.5</v>
      </c>
      <c r="K51" s="180"/>
      <c r="L51" s="180" t="s">
        <v>57</v>
      </c>
      <c r="M51" s="176" t="s">
        <v>58</v>
      </c>
      <c r="N51" s="176">
        <v>0</v>
      </c>
      <c r="O51" s="176" t="s">
        <v>59</v>
      </c>
      <c r="P51" s="176"/>
      <c r="Q51" s="177"/>
      <c r="R51" s="177" t="s">
        <v>1332</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1333</v>
      </c>
    </row>
    <row r="52" spans="1:70" ht="14.25" customHeight="1" x14ac:dyDescent="0.2">
      <c r="A52" s="203">
        <v>50</v>
      </c>
      <c r="B52" s="229" t="s">
        <v>609</v>
      </c>
      <c r="C52" s="262" t="s">
        <v>1401</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1332</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1333</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1329</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1334</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1348</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1348</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1348</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1348</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1384</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1335</v>
      </c>
    </row>
    <row r="125" spans="1:70" ht="14.25" customHeight="1" x14ac:dyDescent="0.2">
      <c r="A125" s="203">
        <v>129</v>
      </c>
      <c r="B125" s="231" t="s">
        <v>662</v>
      </c>
      <c r="C125" s="261" t="s">
        <v>663</v>
      </c>
      <c r="D125" s="231" t="s">
        <v>1385</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1336</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1335</v>
      </c>
    </row>
    <row r="126" spans="1:70" ht="14.25" customHeight="1" x14ac:dyDescent="0.2">
      <c r="A126" s="203">
        <v>130</v>
      </c>
      <c r="B126" s="231" t="s">
        <v>662</v>
      </c>
      <c r="C126" s="261" t="s">
        <v>663</v>
      </c>
      <c r="D126" s="231" t="s">
        <v>1386</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1336</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1335</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1335</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1336</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1335</v>
      </c>
    </row>
    <row r="129" spans="1:70" ht="14.25" customHeight="1" x14ac:dyDescent="0.2">
      <c r="A129" s="91">
        <v>133</v>
      </c>
      <c r="B129" s="229" t="s">
        <v>1598</v>
      </c>
      <c r="C129" s="263" t="s">
        <v>1426</v>
      </c>
      <c r="D129" s="229" t="s">
        <v>1599</v>
      </c>
      <c r="E129" s="123" t="s">
        <v>1405</v>
      </c>
      <c r="F129" s="179" t="s">
        <v>70</v>
      </c>
      <c r="G129" s="179" t="s">
        <v>55</v>
      </c>
      <c r="H129" s="179" t="s">
        <v>1600</v>
      </c>
      <c r="I129" s="179"/>
      <c r="J129" s="176">
        <v>400</v>
      </c>
      <c r="K129" s="180"/>
      <c r="L129" s="180"/>
      <c r="M129" s="176" t="s">
        <v>58</v>
      </c>
      <c r="N129" s="176">
        <v>0</v>
      </c>
      <c r="O129" s="176" t="s">
        <v>59</v>
      </c>
      <c r="P129" s="176" t="s">
        <v>78</v>
      </c>
      <c r="Q129" s="177" t="s">
        <v>1601</v>
      </c>
      <c r="R129" s="177"/>
      <c r="S129" s="178"/>
      <c r="T129" s="177"/>
      <c r="U129" s="177"/>
      <c r="V129" s="165" t="s">
        <v>435</v>
      </c>
      <c r="W129" s="166"/>
      <c r="Y129" s="165" t="s">
        <v>1602</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1603</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1382</v>
      </c>
      <c r="S151" s="178"/>
      <c r="T151" s="177">
        <v>240</v>
      </c>
      <c r="U151" s="177" t="s">
        <v>1381</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1383</v>
      </c>
      <c r="S152" s="178"/>
      <c r="T152" s="177">
        <v>240</v>
      </c>
      <c r="U152" s="177" t="s">
        <v>1381</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1387</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1388</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1391</v>
      </c>
      <c r="S244" s="178"/>
      <c r="T244" s="177">
        <v>150</v>
      </c>
      <c r="U244" s="177"/>
      <c r="V244" s="165"/>
      <c r="W244" s="166"/>
      <c r="X244" s="166">
        <v>4</v>
      </c>
      <c r="Y244" s="165"/>
      <c r="Z244" s="167" t="s">
        <v>1392</v>
      </c>
      <c r="AA244" s="164">
        <v>10</v>
      </c>
      <c r="AB244" s="164">
        <v>9</v>
      </c>
      <c r="AC244" s="163">
        <f>AVERAGE(19,25,23,23,23,24,22,20,21,20)</f>
        <v>22</v>
      </c>
      <c r="AD244" s="163" t="s">
        <v>1393</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1391</v>
      </c>
      <c r="S245" s="178"/>
      <c r="T245" s="177">
        <v>150</v>
      </c>
      <c r="U245" s="177"/>
      <c r="V245" s="165"/>
      <c r="W245" s="166"/>
      <c r="X245" s="166">
        <v>4</v>
      </c>
      <c r="Y245" s="165"/>
      <c r="Z245" s="167" t="s">
        <v>1392</v>
      </c>
      <c r="AA245" s="164">
        <v>10</v>
      </c>
      <c r="AB245" s="164">
        <v>9</v>
      </c>
      <c r="AC245" s="163">
        <f>AVERAGE(19,25,23,23,23,24,22,20,21,20)</f>
        <v>22</v>
      </c>
      <c r="AD245" s="163" t="s">
        <v>1393</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1394</v>
      </c>
      <c r="S246" s="178"/>
      <c r="T246" s="177"/>
      <c r="U246" s="177"/>
      <c r="V246" s="165"/>
      <c r="W246" s="166"/>
      <c r="X246" s="166"/>
      <c r="Y246" s="165"/>
      <c r="Z246" s="167" t="s">
        <v>1392</v>
      </c>
      <c r="AA246" s="164">
        <v>10</v>
      </c>
      <c r="AB246" s="164">
        <v>9</v>
      </c>
      <c r="AC246" s="163">
        <f>AVERAGE(19,25,23,23,23,24,22,20,21,20)</f>
        <v>22</v>
      </c>
      <c r="AD246" s="163" t="s">
        <v>1393</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1391</v>
      </c>
      <c r="S247" s="178"/>
      <c r="T247" s="177">
        <v>150</v>
      </c>
      <c r="U247" s="177"/>
      <c r="V247" s="165"/>
      <c r="W247" s="166"/>
      <c r="X247" s="166">
        <v>4</v>
      </c>
      <c r="Y247" s="165"/>
      <c r="Z247" s="167" t="s">
        <v>1392</v>
      </c>
      <c r="AA247" s="164">
        <v>10</v>
      </c>
      <c r="AB247" s="164">
        <v>9</v>
      </c>
      <c r="AC247" s="163">
        <f>AVERAGE(19,25,23,23,23,24,22,20,21,20)</f>
        <v>22</v>
      </c>
      <c r="AD247" s="163" t="s">
        <v>1393</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1391</v>
      </c>
      <c r="S248" s="178"/>
      <c r="T248" s="177">
        <v>150</v>
      </c>
      <c r="U248" s="177"/>
      <c r="V248" s="165"/>
      <c r="W248" s="166"/>
      <c r="X248" s="166">
        <v>4</v>
      </c>
      <c r="Y248" s="165"/>
      <c r="Z248" s="167" t="s">
        <v>1392</v>
      </c>
      <c r="AA248" s="164">
        <v>10</v>
      </c>
      <c r="AB248" s="164">
        <v>9</v>
      </c>
      <c r="AC248" s="163">
        <f>AVERAGE(19,25,23,23,23,24,22,20,21,20)</f>
        <v>22</v>
      </c>
      <c r="AD248" s="163" t="s">
        <v>1393</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1337</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1337</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1337</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1337</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1337</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1338</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1338</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1338</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1338</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1338</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1349</v>
      </c>
      <c r="R287" s="177" t="s">
        <v>1350</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1349</v>
      </c>
      <c r="R288" s="177" t="s">
        <v>1350</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1351</v>
      </c>
      <c r="J289" s="176">
        <v>0.5</v>
      </c>
      <c r="K289" s="180"/>
      <c r="L289" s="180" t="s">
        <v>57</v>
      </c>
      <c r="M289" s="176" t="s">
        <v>58</v>
      </c>
      <c r="N289" s="176">
        <v>0</v>
      </c>
      <c r="O289" s="176" t="s">
        <v>59</v>
      </c>
      <c r="P289" s="176" t="s">
        <v>78</v>
      </c>
      <c r="Q289" s="177" t="s">
        <v>1349</v>
      </c>
      <c r="R289" s="177" t="s">
        <v>1350</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1351</v>
      </c>
      <c r="J290" s="176">
        <v>0.5</v>
      </c>
      <c r="K290" s="180"/>
      <c r="L290" s="180" t="s">
        <v>57</v>
      </c>
      <c r="M290" s="176" t="s">
        <v>58</v>
      </c>
      <c r="N290" s="176">
        <v>360</v>
      </c>
      <c r="O290" s="176" t="s">
        <v>59</v>
      </c>
      <c r="P290" s="176" t="s">
        <v>78</v>
      </c>
      <c r="Q290" s="177" t="s">
        <v>1349</v>
      </c>
      <c r="R290" s="177" t="s">
        <v>1350</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1352</v>
      </c>
      <c r="R310" s="177" t="s">
        <v>1377</v>
      </c>
      <c r="S310" s="178"/>
      <c r="T310" s="177">
        <v>400</v>
      </c>
      <c r="U310" s="177" t="s">
        <v>1353</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1354</v>
      </c>
      <c r="BR310" s="163" t="s">
        <v>1355</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1352</v>
      </c>
      <c r="R311" s="177" t="s">
        <v>1377</v>
      </c>
      <c r="S311" s="178"/>
      <c r="T311" s="177">
        <v>400</v>
      </c>
      <c r="U311" s="177" t="s">
        <v>1353</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1354</v>
      </c>
      <c r="BR311" s="163" t="s">
        <v>1355</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1352</v>
      </c>
      <c r="R312" s="177" t="s">
        <v>1377</v>
      </c>
      <c r="S312" s="178"/>
      <c r="T312" s="177">
        <v>400</v>
      </c>
      <c r="U312" s="177" t="s">
        <v>1353</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1354</v>
      </c>
      <c r="BR312" s="163" t="s">
        <v>1355</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1356</v>
      </c>
      <c r="I319" s="179"/>
      <c r="J319" s="176">
        <v>600</v>
      </c>
      <c r="K319" s="180"/>
      <c r="L319" s="180" t="s">
        <v>57</v>
      </c>
      <c r="M319" s="176" t="s">
        <v>1357</v>
      </c>
      <c r="N319" s="176" t="s">
        <v>1358</v>
      </c>
      <c r="O319" s="176" t="s">
        <v>59</v>
      </c>
      <c r="P319" s="176" t="s">
        <v>1359</v>
      </c>
      <c r="Q319" s="177" t="s">
        <v>1360</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1362</v>
      </c>
    </row>
    <row r="320" spans="1:70" s="122" customFormat="1" ht="14.25" customHeight="1" x14ac:dyDescent="0.2">
      <c r="A320" s="203">
        <v>346</v>
      </c>
      <c r="B320" s="231" t="s">
        <v>797</v>
      </c>
      <c r="C320" s="261" t="s">
        <v>798</v>
      </c>
      <c r="D320" s="231" t="s">
        <v>800</v>
      </c>
      <c r="E320" s="123" t="s">
        <v>53</v>
      </c>
      <c r="F320" s="179" t="s">
        <v>54</v>
      </c>
      <c r="G320" s="179" t="s">
        <v>75</v>
      </c>
      <c r="H320" s="179" t="s">
        <v>1356</v>
      </c>
      <c r="I320" s="179"/>
      <c r="J320" s="176">
        <v>600</v>
      </c>
      <c r="K320" s="180"/>
      <c r="L320" s="180" t="s">
        <v>57</v>
      </c>
      <c r="M320" s="176" t="s">
        <v>1357</v>
      </c>
      <c r="N320" s="176" t="s">
        <v>1363</v>
      </c>
      <c r="O320" s="176" t="s">
        <v>59</v>
      </c>
      <c r="P320" s="176" t="s">
        <v>1364</v>
      </c>
      <c r="Q320" s="177" t="s">
        <v>1360</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1362</v>
      </c>
    </row>
    <row r="321" spans="1:70" s="122" customFormat="1" ht="14.25" customHeight="1" x14ac:dyDescent="0.2">
      <c r="A321" s="203">
        <v>347</v>
      </c>
      <c r="B321" s="231" t="s">
        <v>797</v>
      </c>
      <c r="C321" s="261" t="s">
        <v>798</v>
      </c>
      <c r="D321" s="231" t="s">
        <v>801</v>
      </c>
      <c r="E321" s="123" t="s">
        <v>53</v>
      </c>
      <c r="F321" s="179" t="s">
        <v>54</v>
      </c>
      <c r="G321" s="179" t="s">
        <v>75</v>
      </c>
      <c r="H321" s="179" t="s">
        <v>1356</v>
      </c>
      <c r="I321" s="179"/>
      <c r="J321" s="176">
        <v>600</v>
      </c>
      <c r="K321" s="180"/>
      <c r="L321" s="180" t="s">
        <v>57</v>
      </c>
      <c r="M321" s="176" t="s">
        <v>1357</v>
      </c>
      <c r="N321" s="176" t="s">
        <v>1365</v>
      </c>
      <c r="O321" s="176" t="s">
        <v>59</v>
      </c>
      <c r="P321" s="176" t="s">
        <v>1366</v>
      </c>
      <c r="Q321" s="177" t="s">
        <v>1360</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1362</v>
      </c>
    </row>
    <row r="322" spans="1:70" s="122" customFormat="1" ht="14.25" customHeight="1" x14ac:dyDescent="0.2">
      <c r="A322" s="203">
        <v>348</v>
      </c>
      <c r="B322" s="231" t="s">
        <v>797</v>
      </c>
      <c r="C322" s="261" t="s">
        <v>798</v>
      </c>
      <c r="D322" s="231" t="s">
        <v>802</v>
      </c>
      <c r="E322" s="123" t="s">
        <v>53</v>
      </c>
      <c r="F322" s="179" t="s">
        <v>54</v>
      </c>
      <c r="G322" s="179" t="s">
        <v>75</v>
      </c>
      <c r="H322" s="179" t="s">
        <v>1356</v>
      </c>
      <c r="I322" s="179"/>
      <c r="J322" s="176">
        <v>600</v>
      </c>
      <c r="K322" s="180"/>
      <c r="L322" s="180" t="s">
        <v>57</v>
      </c>
      <c r="M322" s="176" t="s">
        <v>77</v>
      </c>
      <c r="N322" s="176">
        <v>0</v>
      </c>
      <c r="O322" s="176" t="s">
        <v>59</v>
      </c>
      <c r="P322" s="176" t="s">
        <v>78</v>
      </c>
      <c r="Q322" s="177" t="s">
        <v>1141</v>
      </c>
      <c r="R322" s="177"/>
      <c r="S322" s="178">
        <v>60</v>
      </c>
      <c r="T322" s="177"/>
      <c r="U322" s="177" t="s">
        <v>1361</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1362</v>
      </c>
    </row>
    <row r="323" spans="1:70" s="122" customFormat="1" ht="14.25" customHeight="1" x14ac:dyDescent="0.2">
      <c r="A323" s="203">
        <v>349</v>
      </c>
      <c r="B323" s="231" t="s">
        <v>797</v>
      </c>
      <c r="C323" s="261" t="s">
        <v>798</v>
      </c>
      <c r="D323" s="231" t="s">
        <v>803</v>
      </c>
      <c r="E323" s="123" t="s">
        <v>53</v>
      </c>
      <c r="F323" s="179" t="s">
        <v>54</v>
      </c>
      <c r="G323" s="179" t="s">
        <v>75</v>
      </c>
      <c r="H323" s="179" t="s">
        <v>1356</v>
      </c>
      <c r="I323" s="179"/>
      <c r="J323" s="176">
        <v>600</v>
      </c>
      <c r="K323" s="180"/>
      <c r="L323" s="180" t="s">
        <v>57</v>
      </c>
      <c r="M323" s="176" t="s">
        <v>1357</v>
      </c>
      <c r="N323" s="176" t="s">
        <v>1367</v>
      </c>
      <c r="O323" s="176" t="s">
        <v>59</v>
      </c>
      <c r="P323" s="176" t="s">
        <v>1368</v>
      </c>
      <c r="Q323" s="177" t="s">
        <v>1141</v>
      </c>
      <c r="R323" s="177"/>
      <c r="S323" s="178">
        <v>60</v>
      </c>
      <c r="T323" s="177"/>
      <c r="U323" s="177" t="s">
        <v>1361</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1362</v>
      </c>
    </row>
    <row r="324" spans="1:70" s="122" customFormat="1" ht="14.25" customHeight="1" x14ac:dyDescent="0.2">
      <c r="A324" s="203">
        <v>350</v>
      </c>
      <c r="B324" s="231" t="s">
        <v>797</v>
      </c>
      <c r="C324" s="261" t="s">
        <v>798</v>
      </c>
      <c r="D324" s="231" t="s">
        <v>804</v>
      </c>
      <c r="E324" s="123" t="s">
        <v>53</v>
      </c>
      <c r="F324" s="179" t="s">
        <v>54</v>
      </c>
      <c r="G324" s="179" t="s">
        <v>75</v>
      </c>
      <c r="H324" s="179" t="s">
        <v>1356</v>
      </c>
      <c r="I324" s="179"/>
      <c r="J324" s="176">
        <v>600</v>
      </c>
      <c r="K324" s="180"/>
      <c r="L324" s="180" t="s">
        <v>57</v>
      </c>
      <c r="M324" s="176" t="s">
        <v>1357</v>
      </c>
      <c r="N324" s="176" t="s">
        <v>1369</v>
      </c>
      <c r="O324" s="176" t="s">
        <v>59</v>
      </c>
      <c r="P324" s="176" t="s">
        <v>1370</v>
      </c>
      <c r="Q324" s="177" t="s">
        <v>1141</v>
      </c>
      <c r="R324" s="177"/>
      <c r="S324" s="178">
        <v>60</v>
      </c>
      <c r="T324" s="177"/>
      <c r="U324" s="177" t="s">
        <v>1361</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1362</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2879</v>
      </c>
      <c r="I327" s="179"/>
      <c r="J327" s="176">
        <v>3</v>
      </c>
      <c r="K327" s="180"/>
      <c r="L327" s="180" t="s">
        <v>57</v>
      </c>
      <c r="M327" s="176" t="s">
        <v>58</v>
      </c>
      <c r="N327" s="176">
        <v>0</v>
      </c>
      <c r="O327" s="176" t="s">
        <v>59</v>
      </c>
      <c r="P327" s="176" t="s">
        <v>78</v>
      </c>
      <c r="Q327" s="177"/>
      <c r="R327" s="177" t="s">
        <v>2874</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2879</v>
      </c>
      <c r="I328" s="179"/>
      <c r="J328" s="176">
        <v>3</v>
      </c>
      <c r="K328" s="180"/>
      <c r="L328" s="180" t="s">
        <v>57</v>
      </c>
      <c r="M328" s="176" t="s">
        <v>58</v>
      </c>
      <c r="N328" s="176">
        <v>72.25</v>
      </c>
      <c r="O328" s="176" t="s">
        <v>59</v>
      </c>
      <c r="P328" s="176" t="s">
        <v>78</v>
      </c>
      <c r="Q328" s="177"/>
      <c r="R328" s="177" t="s">
        <v>2874</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1371</v>
      </c>
      <c r="J387" s="176">
        <v>7.4999999999999997E-2</v>
      </c>
      <c r="K387" s="180"/>
      <c r="L387" s="180" t="s">
        <v>106</v>
      </c>
      <c r="M387" s="176" t="s">
        <v>77</v>
      </c>
      <c r="N387" s="176">
        <v>0</v>
      </c>
      <c r="O387" s="176" t="s">
        <v>59</v>
      </c>
      <c r="P387" s="176"/>
      <c r="Q387" s="177"/>
      <c r="R387" s="177" t="s">
        <v>1372</v>
      </c>
      <c r="S387" s="178">
        <v>1</v>
      </c>
      <c r="T387" s="177"/>
      <c r="U387" s="177"/>
      <c r="V387" s="165"/>
      <c r="W387" s="166"/>
      <c r="X387" s="166"/>
      <c r="Y387" s="165"/>
      <c r="Z387" s="167" t="s">
        <v>62</v>
      </c>
      <c r="AA387" s="164">
        <v>8</v>
      </c>
      <c r="AB387" s="164">
        <v>4</v>
      </c>
      <c r="AC387" s="163"/>
      <c r="AD387" s="163" t="s">
        <v>79</v>
      </c>
      <c r="AE387" s="163" t="s">
        <v>1373</v>
      </c>
      <c r="AF387" s="163"/>
      <c r="AG387" s="163"/>
      <c r="AH387" s="163"/>
      <c r="AI387" s="163">
        <v>21</v>
      </c>
      <c r="AJ387" s="163">
        <v>26</v>
      </c>
      <c r="AK387" s="164"/>
      <c r="AL387" s="164" t="s">
        <v>80</v>
      </c>
      <c r="AM387" s="164" t="s">
        <v>1373</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1374</v>
      </c>
    </row>
    <row r="388" spans="1:70" s="122" customFormat="1" ht="12.75" customHeight="1" x14ac:dyDescent="0.2">
      <c r="A388" s="203">
        <v>420</v>
      </c>
      <c r="B388" s="229" t="s">
        <v>885</v>
      </c>
      <c r="C388" s="262" t="s">
        <v>886</v>
      </c>
      <c r="D388" s="229" t="s">
        <v>1347</v>
      </c>
      <c r="E388" s="123" t="s">
        <v>101</v>
      </c>
      <c r="F388" s="179" t="s">
        <v>102</v>
      </c>
      <c r="G388" s="179" t="s">
        <v>55</v>
      </c>
      <c r="H388" s="179" t="s">
        <v>65</v>
      </c>
      <c r="I388" s="179" t="s">
        <v>1375</v>
      </c>
      <c r="J388" s="176">
        <v>7.4999999999999997E-2</v>
      </c>
      <c r="K388" s="180"/>
      <c r="L388" s="180" t="s">
        <v>106</v>
      </c>
      <c r="M388" s="176" t="s">
        <v>77</v>
      </c>
      <c r="N388" s="176">
        <v>96</v>
      </c>
      <c r="O388" s="176" t="s">
        <v>59</v>
      </c>
      <c r="P388" s="176" t="s">
        <v>1376</v>
      </c>
      <c r="Q388" s="177"/>
      <c r="R388" s="177" t="s">
        <v>1372</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1374</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1330</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1334</v>
      </c>
    </row>
    <row r="483" spans="1:70" s="122" customFormat="1" ht="12.75" customHeight="1" x14ac:dyDescent="0.2">
      <c r="A483" s="91">
        <v>550</v>
      </c>
      <c r="B483" s="229" t="s">
        <v>1402</v>
      </c>
      <c r="C483" s="263" t="s">
        <v>1403</v>
      </c>
      <c r="D483" s="229" t="s">
        <v>1404</v>
      </c>
      <c r="E483" s="123" t="s">
        <v>1405</v>
      </c>
      <c r="F483" s="179" t="s">
        <v>102</v>
      </c>
      <c r="G483" s="179" t="s">
        <v>55</v>
      </c>
      <c r="H483" s="179" t="s">
        <v>1406</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1407</v>
      </c>
    </row>
    <row r="484" spans="1:70" s="122" customFormat="1" ht="12.75" customHeight="1" x14ac:dyDescent="0.2">
      <c r="A484" s="91">
        <v>551</v>
      </c>
      <c r="B484" s="229" t="s">
        <v>1408</v>
      </c>
      <c r="C484" s="263" t="s">
        <v>1409</v>
      </c>
      <c r="D484" s="229" t="s">
        <v>1410</v>
      </c>
      <c r="E484" s="123" t="s">
        <v>1405</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1411</v>
      </c>
    </row>
    <row r="485" spans="1:70" s="122" customFormat="1" ht="12.75" customHeight="1" x14ac:dyDescent="0.2">
      <c r="A485" s="91">
        <v>552</v>
      </c>
      <c r="B485" s="229" t="s">
        <v>1412</v>
      </c>
      <c r="C485" s="263" t="s">
        <v>1413</v>
      </c>
      <c r="D485" s="229" t="s">
        <v>1414</v>
      </c>
      <c r="E485" s="123" t="s">
        <v>1405</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1415</v>
      </c>
    </row>
    <row r="486" spans="1:70" ht="14.25" customHeight="1" x14ac:dyDescent="0.2">
      <c r="A486" s="91">
        <v>553</v>
      </c>
      <c r="B486" s="229" t="s">
        <v>1416</v>
      </c>
      <c r="C486" s="263" t="s">
        <v>1417</v>
      </c>
      <c r="D486" s="229" t="s">
        <v>1418</v>
      </c>
      <c r="E486" s="3" t="s">
        <v>1405</v>
      </c>
      <c r="F486" s="26" t="s">
        <v>102</v>
      </c>
      <c r="G486" s="26" t="s">
        <v>55</v>
      </c>
      <c r="H486" s="26" t="s">
        <v>156</v>
      </c>
      <c r="J486" s="22">
        <v>400</v>
      </c>
      <c r="L486" s="28" t="s">
        <v>57</v>
      </c>
      <c r="M486" s="22" t="s">
        <v>58</v>
      </c>
      <c r="N486" s="22" t="s">
        <v>1145</v>
      </c>
      <c r="O486" s="22" t="s">
        <v>59</v>
      </c>
      <c r="P486" s="22" t="s">
        <v>91</v>
      </c>
      <c r="R486" s="23" t="s">
        <v>1419</v>
      </c>
      <c r="T486" s="23">
        <v>240</v>
      </c>
      <c r="V486" s="25" t="s">
        <v>435</v>
      </c>
      <c r="Y486" s="25" t="s">
        <v>1420</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1407</v>
      </c>
    </row>
    <row r="487" spans="1:70" ht="14.25" customHeight="1" x14ac:dyDescent="0.2">
      <c r="A487" s="91">
        <v>554</v>
      </c>
      <c r="B487" s="229" t="s">
        <v>1421</v>
      </c>
      <c r="C487" s="263" t="s">
        <v>1422</v>
      </c>
      <c r="D487" s="229" t="s">
        <v>1423</v>
      </c>
      <c r="E487" s="3" t="s">
        <v>1405</v>
      </c>
      <c r="F487" s="26" t="s">
        <v>102</v>
      </c>
      <c r="G487" s="26" t="s">
        <v>55</v>
      </c>
      <c r="H487" s="26" t="s">
        <v>534</v>
      </c>
      <c r="J487" s="22">
        <v>400</v>
      </c>
      <c r="L487" s="28" t="s">
        <v>57</v>
      </c>
      <c r="M487" s="22" t="s">
        <v>58</v>
      </c>
      <c r="N487" s="22" t="s">
        <v>1136</v>
      </c>
      <c r="O487" s="22" t="s">
        <v>59</v>
      </c>
      <c r="P487" s="22" t="s">
        <v>91</v>
      </c>
      <c r="V487" s="25" t="s">
        <v>435</v>
      </c>
      <c r="Y487" s="25" t="s">
        <v>1424</v>
      </c>
      <c r="Z487" s="83" t="s">
        <v>62</v>
      </c>
      <c r="AA487" s="6">
        <v>28</v>
      </c>
      <c r="BQ487" s="6" t="s">
        <v>213</v>
      </c>
      <c r="BR487" s="5" t="s">
        <v>1407</v>
      </c>
    </row>
    <row r="488" spans="1:70" ht="14.25" customHeight="1" x14ac:dyDescent="0.2">
      <c r="A488" s="91">
        <v>555</v>
      </c>
      <c r="B488" s="229" t="s">
        <v>1421</v>
      </c>
      <c r="C488" s="263" t="s">
        <v>1422</v>
      </c>
      <c r="D488" s="229" t="s">
        <v>1425</v>
      </c>
      <c r="E488" s="3" t="s">
        <v>1405</v>
      </c>
      <c r="F488" s="26" t="s">
        <v>102</v>
      </c>
      <c r="G488" s="26" t="s">
        <v>55</v>
      </c>
      <c r="H488" s="26" t="s">
        <v>539</v>
      </c>
      <c r="J488" s="22">
        <v>400</v>
      </c>
      <c r="L488" s="28" t="s">
        <v>57</v>
      </c>
      <c r="M488" s="22" t="s">
        <v>58</v>
      </c>
      <c r="N488" s="22" t="s">
        <v>1136</v>
      </c>
      <c r="O488" s="22" t="s">
        <v>59</v>
      </c>
      <c r="P488" s="22" t="s">
        <v>91</v>
      </c>
      <c r="V488" s="25" t="s">
        <v>435</v>
      </c>
      <c r="Y488" s="25" t="s">
        <v>1424</v>
      </c>
      <c r="Z488" s="83" t="s">
        <v>62</v>
      </c>
      <c r="AA488" s="6">
        <v>28</v>
      </c>
      <c r="BQ488" s="6" t="s">
        <v>213</v>
      </c>
      <c r="BR488" s="5" t="s">
        <v>1407</v>
      </c>
    </row>
    <row r="489" spans="1:70" ht="14.25" x14ac:dyDescent="0.2">
      <c r="A489" s="91">
        <v>556</v>
      </c>
      <c r="B489" s="229" t="s">
        <v>1506</v>
      </c>
      <c r="C489" s="263" t="s">
        <v>1426</v>
      </c>
      <c r="D489" s="229" t="s">
        <v>673</v>
      </c>
      <c r="E489" s="3" t="s">
        <v>1405</v>
      </c>
      <c r="F489" s="26" t="s">
        <v>102</v>
      </c>
      <c r="G489" s="26" t="s">
        <v>55</v>
      </c>
      <c r="H489" s="26" t="s">
        <v>1427</v>
      </c>
      <c r="J489" s="22">
        <v>100</v>
      </c>
      <c r="K489" s="28">
        <v>87.894559999999998</v>
      </c>
      <c r="L489" s="28" t="s">
        <v>57</v>
      </c>
      <c r="M489" s="22" t="s">
        <v>58</v>
      </c>
      <c r="N489" s="22">
        <v>0</v>
      </c>
      <c r="O489" s="22" t="s">
        <v>59</v>
      </c>
      <c r="P489" s="22" t="s">
        <v>78</v>
      </c>
      <c r="R489" s="23" t="s">
        <v>1428</v>
      </c>
      <c r="V489" s="25" t="s">
        <v>61</v>
      </c>
      <c r="Z489" s="83" t="s">
        <v>62</v>
      </c>
      <c r="AA489" s="6">
        <v>6</v>
      </c>
      <c r="AB489" s="6">
        <v>0</v>
      </c>
      <c r="AG489" s="5" t="s">
        <v>79</v>
      </c>
      <c r="AI489" s="5">
        <v>18</v>
      </c>
      <c r="AJ489" s="5">
        <v>45</v>
      </c>
      <c r="BQ489" s="6" t="s">
        <v>213</v>
      </c>
      <c r="BR489" s="5" t="s">
        <v>1429</v>
      </c>
    </row>
    <row r="490" spans="1:70" ht="14.25" customHeight="1" x14ac:dyDescent="0.2">
      <c r="A490" s="91">
        <v>557</v>
      </c>
      <c r="B490" s="229" t="s">
        <v>1506</v>
      </c>
      <c r="C490" s="263" t="s">
        <v>1426</v>
      </c>
      <c r="D490" s="229" t="s">
        <v>397</v>
      </c>
      <c r="E490" s="3" t="s">
        <v>1405</v>
      </c>
      <c r="F490" s="26" t="s">
        <v>102</v>
      </c>
      <c r="G490" s="26" t="s">
        <v>55</v>
      </c>
      <c r="H490" s="26" t="s">
        <v>1427</v>
      </c>
      <c r="J490" s="22">
        <v>300</v>
      </c>
      <c r="K490" s="28">
        <v>263.68367999999998</v>
      </c>
      <c r="L490" s="28" t="s">
        <v>57</v>
      </c>
      <c r="M490" s="22" t="s">
        <v>58</v>
      </c>
      <c r="N490" s="22">
        <v>0</v>
      </c>
      <c r="O490" s="22" t="s">
        <v>59</v>
      </c>
      <c r="P490" s="22" t="s">
        <v>78</v>
      </c>
      <c r="R490" s="23" t="s">
        <v>1428</v>
      </c>
      <c r="V490" s="25" t="s">
        <v>61</v>
      </c>
      <c r="Z490" s="83" t="s">
        <v>62</v>
      </c>
      <c r="AA490" s="6">
        <v>5</v>
      </c>
      <c r="AB490" s="6">
        <v>0</v>
      </c>
      <c r="AG490" s="5" t="s">
        <v>79</v>
      </c>
      <c r="AI490" s="5">
        <v>18</v>
      </c>
      <c r="AJ490" s="5">
        <v>45</v>
      </c>
      <c r="BQ490" s="6" t="s">
        <v>213</v>
      </c>
      <c r="BR490" s="5" t="s">
        <v>1429</v>
      </c>
    </row>
    <row r="491" spans="1:70" ht="14.25" customHeight="1" x14ac:dyDescent="0.2">
      <c r="A491" s="91">
        <v>558</v>
      </c>
      <c r="B491" s="229" t="s">
        <v>1506</v>
      </c>
      <c r="C491" s="263" t="s">
        <v>1426</v>
      </c>
      <c r="D491" s="229" t="s">
        <v>401</v>
      </c>
      <c r="E491" s="3" t="s">
        <v>1405</v>
      </c>
      <c r="F491" s="26" t="s">
        <v>102</v>
      </c>
      <c r="G491" s="26" t="s">
        <v>55</v>
      </c>
      <c r="H491" s="26" t="s">
        <v>1427</v>
      </c>
      <c r="J491" s="22">
        <v>600</v>
      </c>
      <c r="K491" s="28">
        <v>527.36735999999996</v>
      </c>
      <c r="L491" s="28" t="s">
        <v>57</v>
      </c>
      <c r="M491" s="22" t="s">
        <v>58</v>
      </c>
      <c r="N491" s="22">
        <v>0</v>
      </c>
      <c r="O491" s="22" t="s">
        <v>59</v>
      </c>
      <c r="P491" s="22" t="s">
        <v>78</v>
      </c>
      <c r="R491" s="23" t="s">
        <v>1428</v>
      </c>
      <c r="V491" s="25" t="s">
        <v>61</v>
      </c>
      <c r="Z491" s="83" t="s">
        <v>62</v>
      </c>
      <c r="AA491" s="6">
        <v>6</v>
      </c>
      <c r="AB491" s="6">
        <v>0</v>
      </c>
      <c r="AG491" s="5" t="s">
        <v>79</v>
      </c>
      <c r="AI491" s="5">
        <v>18</v>
      </c>
      <c r="AJ491" s="5">
        <v>45</v>
      </c>
      <c r="BQ491" s="6" t="s">
        <v>213</v>
      </c>
      <c r="BR491" s="5" t="s">
        <v>1429</v>
      </c>
    </row>
    <row r="492" spans="1:70" ht="14.25" customHeight="1" x14ac:dyDescent="0.2">
      <c r="A492" s="91">
        <v>559</v>
      </c>
      <c r="B492" s="229" t="s">
        <v>1506</v>
      </c>
      <c r="C492" s="263" t="s">
        <v>1426</v>
      </c>
      <c r="D492" s="229" t="s">
        <v>678</v>
      </c>
      <c r="E492" s="3" t="s">
        <v>1405</v>
      </c>
      <c r="F492" s="26" t="s">
        <v>102</v>
      </c>
      <c r="G492" s="26" t="s">
        <v>55</v>
      </c>
      <c r="H492" s="26" t="s">
        <v>1427</v>
      </c>
      <c r="J492" s="22">
        <v>900</v>
      </c>
      <c r="K492" s="28">
        <v>791.05103999999994</v>
      </c>
      <c r="L492" s="28" t="s">
        <v>57</v>
      </c>
      <c r="M492" s="22" t="s">
        <v>58</v>
      </c>
      <c r="N492" s="22">
        <v>0</v>
      </c>
      <c r="O492" s="22" t="s">
        <v>59</v>
      </c>
      <c r="P492" s="22" t="s">
        <v>78</v>
      </c>
      <c r="R492" s="23" t="s">
        <v>1428</v>
      </c>
      <c r="V492" s="25" t="s">
        <v>61</v>
      </c>
      <c r="Z492" s="83" t="s">
        <v>62</v>
      </c>
      <c r="AA492" s="6">
        <v>6</v>
      </c>
      <c r="AB492" s="6">
        <v>0</v>
      </c>
      <c r="AG492" s="5" t="s">
        <v>79</v>
      </c>
      <c r="AI492" s="5">
        <v>18</v>
      </c>
      <c r="AJ492" s="5">
        <v>45</v>
      </c>
      <c r="BQ492" s="6" t="s">
        <v>213</v>
      </c>
      <c r="BR492" s="5" t="s">
        <v>1429</v>
      </c>
    </row>
    <row r="493" spans="1:70" ht="14.25" customHeight="1" x14ac:dyDescent="0.2">
      <c r="A493" s="91">
        <v>560</v>
      </c>
      <c r="B493" s="229" t="s">
        <v>1506</v>
      </c>
      <c r="C493" s="263" t="s">
        <v>1426</v>
      </c>
      <c r="D493" s="229" t="s">
        <v>1507</v>
      </c>
      <c r="E493" s="3" t="s">
        <v>1405</v>
      </c>
      <c r="F493" s="26" t="s">
        <v>102</v>
      </c>
      <c r="G493" s="26" t="s">
        <v>55</v>
      </c>
      <c r="H493" s="26" t="s">
        <v>1427</v>
      </c>
      <c r="J493" s="22">
        <v>1200</v>
      </c>
      <c r="K493" s="28">
        <v>1054.7347199999999</v>
      </c>
      <c r="L493" s="28" t="s">
        <v>57</v>
      </c>
      <c r="M493" s="22" t="s">
        <v>58</v>
      </c>
      <c r="N493" s="22">
        <v>0</v>
      </c>
      <c r="O493" s="22" t="s">
        <v>59</v>
      </c>
      <c r="P493" s="22" t="s">
        <v>78</v>
      </c>
      <c r="R493" s="23" t="s">
        <v>1428</v>
      </c>
      <c r="V493" s="25" t="s">
        <v>61</v>
      </c>
      <c r="Z493" s="83" t="s">
        <v>62</v>
      </c>
      <c r="AA493" s="6">
        <v>6</v>
      </c>
      <c r="AB493" s="6">
        <v>0</v>
      </c>
      <c r="AG493" s="5" t="s">
        <v>79</v>
      </c>
      <c r="AI493" s="5">
        <v>18</v>
      </c>
      <c r="AJ493" s="5">
        <v>45</v>
      </c>
      <c r="BQ493" s="6" t="s">
        <v>213</v>
      </c>
      <c r="BR493" s="5" t="s">
        <v>1429</v>
      </c>
    </row>
    <row r="494" spans="1:70" ht="14.25" customHeight="1" x14ac:dyDescent="0.2">
      <c r="A494" s="91">
        <v>561</v>
      </c>
      <c r="B494" s="229" t="s">
        <v>1508</v>
      </c>
      <c r="C494" s="263" t="s">
        <v>1430</v>
      </c>
      <c r="D494" s="229" t="s">
        <v>1507</v>
      </c>
      <c r="E494" s="3" t="s">
        <v>1405</v>
      </c>
      <c r="F494" s="26" t="s">
        <v>102</v>
      </c>
      <c r="G494" s="26" t="s">
        <v>55</v>
      </c>
      <c r="H494" s="26" t="s">
        <v>1431</v>
      </c>
      <c r="J494" s="22">
        <v>200</v>
      </c>
      <c r="L494" s="28" t="s">
        <v>57</v>
      </c>
      <c r="M494" s="22" t="s">
        <v>58</v>
      </c>
      <c r="N494" s="22" t="s">
        <v>182</v>
      </c>
      <c r="O494" s="22" t="s">
        <v>59</v>
      </c>
      <c r="P494" s="22" t="s">
        <v>91</v>
      </c>
      <c r="R494" s="23" t="s">
        <v>1428</v>
      </c>
      <c r="V494" s="25" t="s">
        <v>435</v>
      </c>
      <c r="Y494" s="25" t="s">
        <v>1432</v>
      </c>
      <c r="Z494" s="83" t="s">
        <v>62</v>
      </c>
      <c r="AA494" s="6">
        <v>20</v>
      </c>
      <c r="AG494" s="5" t="s">
        <v>79</v>
      </c>
      <c r="AI494" s="5">
        <v>18</v>
      </c>
      <c r="AJ494" s="5">
        <v>50</v>
      </c>
      <c r="BQ494" s="6" t="s">
        <v>213</v>
      </c>
      <c r="BR494" s="5" t="s">
        <v>1407</v>
      </c>
    </row>
    <row r="495" spans="1:70" ht="14.25" customHeight="1" x14ac:dyDescent="0.2">
      <c r="A495" s="91">
        <v>562</v>
      </c>
      <c r="B495" s="229" t="s">
        <v>1508</v>
      </c>
      <c r="C495" s="263" t="s">
        <v>1430</v>
      </c>
      <c r="D495" s="229" t="s">
        <v>1509</v>
      </c>
      <c r="E495" s="3" t="s">
        <v>1405</v>
      </c>
      <c r="F495" s="26" t="s">
        <v>102</v>
      </c>
      <c r="G495" s="26" t="s">
        <v>55</v>
      </c>
      <c r="H495" s="26" t="s">
        <v>1431</v>
      </c>
      <c r="J495" s="22">
        <v>400</v>
      </c>
      <c r="L495" s="28" t="s">
        <v>57</v>
      </c>
      <c r="M495" s="22" t="s">
        <v>58</v>
      </c>
      <c r="N495" s="22" t="s">
        <v>182</v>
      </c>
      <c r="O495" s="22" t="s">
        <v>59</v>
      </c>
      <c r="P495" s="22" t="s">
        <v>91</v>
      </c>
      <c r="R495" s="23" t="s">
        <v>1428</v>
      </c>
      <c r="V495" s="25" t="s">
        <v>435</v>
      </c>
      <c r="Y495" s="25" t="s">
        <v>1432</v>
      </c>
      <c r="Z495" s="83" t="s">
        <v>62</v>
      </c>
      <c r="AA495" s="6">
        <v>20</v>
      </c>
      <c r="AG495" s="5" t="s">
        <v>79</v>
      </c>
      <c r="AI495" s="5">
        <v>18</v>
      </c>
      <c r="AJ495" s="5">
        <v>50</v>
      </c>
      <c r="BQ495" s="6" t="s">
        <v>213</v>
      </c>
      <c r="BR495" s="5" t="s">
        <v>1407</v>
      </c>
    </row>
    <row r="496" spans="1:70" ht="14.25" customHeight="1" x14ac:dyDescent="0.2">
      <c r="A496" s="91">
        <v>563</v>
      </c>
      <c r="B496" s="229" t="s">
        <v>1508</v>
      </c>
      <c r="C496" s="263" t="s">
        <v>1430</v>
      </c>
      <c r="D496" s="229" t="s">
        <v>1510</v>
      </c>
      <c r="E496" s="3" t="s">
        <v>1405</v>
      </c>
      <c r="F496" s="26" t="s">
        <v>102</v>
      </c>
      <c r="G496" s="26" t="s">
        <v>55</v>
      </c>
      <c r="H496" s="26" t="s">
        <v>1431</v>
      </c>
      <c r="J496" s="22">
        <v>800</v>
      </c>
      <c r="L496" s="28" t="s">
        <v>57</v>
      </c>
      <c r="M496" s="22" t="s">
        <v>58</v>
      </c>
      <c r="N496" s="22" t="s">
        <v>182</v>
      </c>
      <c r="O496" s="22" t="s">
        <v>59</v>
      </c>
      <c r="P496" s="22" t="s">
        <v>91</v>
      </c>
      <c r="R496" s="23" t="s">
        <v>1428</v>
      </c>
      <c r="V496" s="25" t="s">
        <v>435</v>
      </c>
      <c r="Y496" s="25" t="s">
        <v>1432</v>
      </c>
      <c r="Z496" s="83" t="s">
        <v>62</v>
      </c>
      <c r="AA496" s="6">
        <v>20</v>
      </c>
      <c r="AG496" s="5" t="s">
        <v>79</v>
      </c>
      <c r="AI496" s="5">
        <v>18</v>
      </c>
      <c r="AJ496" s="5">
        <v>50</v>
      </c>
      <c r="BQ496" s="6" t="s">
        <v>213</v>
      </c>
      <c r="BR496" s="5" t="s">
        <v>1407</v>
      </c>
    </row>
    <row r="497" spans="1:70" ht="14.25" customHeight="1" x14ac:dyDescent="0.2">
      <c r="A497" s="91">
        <v>564</v>
      </c>
      <c r="B497" s="229" t="s">
        <v>1511</v>
      </c>
      <c r="C497" s="263" t="s">
        <v>1426</v>
      </c>
      <c r="D497" s="229" t="s">
        <v>673</v>
      </c>
      <c r="E497" s="3" t="s">
        <v>1405</v>
      </c>
      <c r="F497" s="26" t="s">
        <v>102</v>
      </c>
      <c r="G497" s="26" t="s">
        <v>55</v>
      </c>
      <c r="H497" s="26" t="s">
        <v>1433</v>
      </c>
      <c r="J497" s="22">
        <v>100</v>
      </c>
      <c r="L497" s="28" t="s">
        <v>57</v>
      </c>
      <c r="M497" s="22" t="s">
        <v>58</v>
      </c>
      <c r="N497" s="22" t="s">
        <v>1434</v>
      </c>
      <c r="O497" s="22" t="s">
        <v>59</v>
      </c>
      <c r="P497" s="22" t="s">
        <v>91</v>
      </c>
      <c r="R497" s="23" t="s">
        <v>1428</v>
      </c>
      <c r="V497" s="25" t="s">
        <v>61</v>
      </c>
      <c r="Z497" s="83" t="s">
        <v>62</v>
      </c>
      <c r="AA497" s="6">
        <v>6</v>
      </c>
      <c r="AB497" s="6">
        <v>0</v>
      </c>
      <c r="BQ497" s="6" t="s">
        <v>213</v>
      </c>
      <c r="BR497" s="5" t="s">
        <v>1407</v>
      </c>
    </row>
    <row r="498" spans="1:70" ht="14.25" customHeight="1" x14ac:dyDescent="0.2">
      <c r="A498" s="91">
        <v>565</v>
      </c>
      <c r="B498" s="229" t="s">
        <v>1511</v>
      </c>
      <c r="C498" s="263" t="s">
        <v>1426</v>
      </c>
      <c r="D498" s="229" t="s">
        <v>1507</v>
      </c>
      <c r="E498" s="3" t="s">
        <v>1405</v>
      </c>
      <c r="F498" s="26" t="s">
        <v>102</v>
      </c>
      <c r="G498" s="26" t="s">
        <v>55</v>
      </c>
      <c r="H498" s="26" t="s">
        <v>1433</v>
      </c>
      <c r="J498" s="22">
        <v>200</v>
      </c>
      <c r="L498" s="28" t="s">
        <v>57</v>
      </c>
      <c r="M498" s="22" t="s">
        <v>58</v>
      </c>
      <c r="N498" s="22" t="s">
        <v>1434</v>
      </c>
      <c r="O498" s="22" t="s">
        <v>59</v>
      </c>
      <c r="P498" s="22" t="s">
        <v>91</v>
      </c>
      <c r="R498" s="23" t="s">
        <v>1428</v>
      </c>
      <c r="V498" s="25" t="s">
        <v>61</v>
      </c>
      <c r="Z498" s="83" t="s">
        <v>62</v>
      </c>
      <c r="AA498" s="6">
        <v>6</v>
      </c>
      <c r="AB498" s="6">
        <v>0</v>
      </c>
      <c r="BQ498" s="6" t="s">
        <v>213</v>
      </c>
      <c r="BR498" s="5" t="s">
        <v>1407</v>
      </c>
    </row>
    <row r="499" spans="1:70" ht="14.25" customHeight="1" x14ac:dyDescent="0.2">
      <c r="A499" s="91">
        <v>566</v>
      </c>
      <c r="B499" s="229" t="s">
        <v>1512</v>
      </c>
      <c r="C499" s="263" t="s">
        <v>1430</v>
      </c>
      <c r="D499" s="229" t="s">
        <v>1515</v>
      </c>
      <c r="E499" s="3" t="s">
        <v>1405</v>
      </c>
      <c r="F499" s="26" t="s">
        <v>102</v>
      </c>
      <c r="G499" s="26" t="s">
        <v>55</v>
      </c>
      <c r="H499" s="26" t="s">
        <v>1435</v>
      </c>
      <c r="J499" s="22">
        <v>400</v>
      </c>
      <c r="L499" s="28" t="s">
        <v>57</v>
      </c>
      <c r="M499" s="22" t="s">
        <v>58</v>
      </c>
      <c r="N499" s="22">
        <v>0</v>
      </c>
      <c r="O499" s="22" t="s">
        <v>59</v>
      </c>
      <c r="P499" s="22" t="s">
        <v>78</v>
      </c>
      <c r="R499" s="23" t="s">
        <v>1428</v>
      </c>
      <c r="V499" s="25" t="s">
        <v>435</v>
      </c>
      <c r="Y499" s="25" t="s">
        <v>1432</v>
      </c>
      <c r="Z499" s="83" t="s">
        <v>62</v>
      </c>
      <c r="AA499" s="6">
        <v>14</v>
      </c>
      <c r="AB499" s="6">
        <v>14</v>
      </c>
      <c r="BQ499" s="6" t="s">
        <v>213</v>
      </c>
      <c r="BR499" s="5" t="s">
        <v>1407</v>
      </c>
    </row>
    <row r="500" spans="1:70" ht="14.25" customHeight="1" x14ac:dyDescent="0.2">
      <c r="A500" s="91">
        <v>567</v>
      </c>
      <c r="B500" s="229" t="s">
        <v>1512</v>
      </c>
      <c r="C500" s="263" t="s">
        <v>1430</v>
      </c>
      <c r="D500" s="229" t="s">
        <v>1516</v>
      </c>
      <c r="E500" s="3" t="s">
        <v>1405</v>
      </c>
      <c r="F500" s="26" t="s">
        <v>102</v>
      </c>
      <c r="G500" s="26" t="s">
        <v>55</v>
      </c>
      <c r="H500" s="26" t="s">
        <v>1435</v>
      </c>
      <c r="J500" s="22">
        <v>400</v>
      </c>
      <c r="L500" s="28" t="s">
        <v>57</v>
      </c>
      <c r="M500" s="22" t="s">
        <v>58</v>
      </c>
      <c r="N500" s="22">
        <v>0</v>
      </c>
      <c r="O500" s="22" t="s">
        <v>59</v>
      </c>
      <c r="P500" s="22" t="s">
        <v>78</v>
      </c>
      <c r="R500" s="23" t="s">
        <v>1428</v>
      </c>
      <c r="V500" s="25" t="s">
        <v>435</v>
      </c>
      <c r="Y500" s="25" t="s">
        <v>1432</v>
      </c>
      <c r="Z500" s="83" t="s">
        <v>62</v>
      </c>
      <c r="AA500" s="6">
        <v>15</v>
      </c>
      <c r="AB500" s="6">
        <v>0</v>
      </c>
      <c r="BQ500" s="6" t="s">
        <v>213</v>
      </c>
      <c r="BR500" s="5" t="s">
        <v>1407</v>
      </c>
    </row>
    <row r="501" spans="1:70" ht="14.25" customHeight="1" x14ac:dyDescent="0.2">
      <c r="A501" s="91">
        <v>568</v>
      </c>
      <c r="B501" s="229" t="s">
        <v>1513</v>
      </c>
      <c r="C501" s="263" t="s">
        <v>1430</v>
      </c>
      <c r="D501" s="229" t="s">
        <v>1517</v>
      </c>
      <c r="E501" s="3" t="s">
        <v>1405</v>
      </c>
      <c r="F501" s="26" t="s">
        <v>102</v>
      </c>
      <c r="G501" s="26" t="s">
        <v>55</v>
      </c>
      <c r="H501" s="26" t="s">
        <v>1436</v>
      </c>
      <c r="J501" s="22">
        <v>400</v>
      </c>
      <c r="L501" s="28" t="s">
        <v>57</v>
      </c>
      <c r="M501" s="22" t="s">
        <v>58</v>
      </c>
      <c r="N501" s="22">
        <v>0</v>
      </c>
      <c r="O501" s="22" t="s">
        <v>59</v>
      </c>
      <c r="P501" s="22" t="s">
        <v>78</v>
      </c>
      <c r="R501" s="23" t="s">
        <v>1428</v>
      </c>
      <c r="V501" s="25" t="s">
        <v>435</v>
      </c>
      <c r="Y501" s="25" t="s">
        <v>1437</v>
      </c>
      <c r="Z501" s="83" t="s">
        <v>62</v>
      </c>
      <c r="AA501" s="6">
        <v>16</v>
      </c>
      <c r="BQ501" s="6" t="s">
        <v>213</v>
      </c>
      <c r="BR501" s="5" t="s">
        <v>1407</v>
      </c>
    </row>
    <row r="502" spans="1:70" ht="14.25" customHeight="1" x14ac:dyDescent="0.2">
      <c r="A502" s="91">
        <v>569</v>
      </c>
      <c r="B502" s="229" t="s">
        <v>1514</v>
      </c>
      <c r="C502" s="263" t="s">
        <v>1430</v>
      </c>
      <c r="D502" s="229" t="s">
        <v>1518</v>
      </c>
      <c r="E502" s="3" t="s">
        <v>1405</v>
      </c>
      <c r="F502" s="26" t="s">
        <v>102</v>
      </c>
      <c r="G502" s="26" t="s">
        <v>55</v>
      </c>
      <c r="H502" s="26" t="s">
        <v>1438</v>
      </c>
      <c r="J502" s="22">
        <v>400</v>
      </c>
      <c r="L502" s="28" t="s">
        <v>57</v>
      </c>
      <c r="M502" s="22" t="s">
        <v>58</v>
      </c>
      <c r="N502" s="22">
        <v>0</v>
      </c>
      <c r="O502" s="22" t="s">
        <v>59</v>
      </c>
      <c r="P502" s="22" t="s">
        <v>78</v>
      </c>
      <c r="R502" s="23" t="s">
        <v>1428</v>
      </c>
      <c r="V502" s="25" t="s">
        <v>61</v>
      </c>
      <c r="Z502" s="83" t="s">
        <v>62</v>
      </c>
      <c r="AA502" s="6">
        <v>32</v>
      </c>
      <c r="AB502" s="6">
        <v>0</v>
      </c>
      <c r="BQ502" s="6" t="s">
        <v>213</v>
      </c>
      <c r="BR502" s="5" t="s">
        <v>1407</v>
      </c>
    </row>
    <row r="503" spans="1:70" ht="14.25" customHeight="1" x14ac:dyDescent="0.2">
      <c r="A503" s="91">
        <v>570</v>
      </c>
      <c r="B503" s="229" t="s">
        <v>1439</v>
      </c>
      <c r="C503" s="263" t="s">
        <v>1440</v>
      </c>
      <c r="D503" s="229" t="s">
        <v>1816</v>
      </c>
      <c r="E503" s="3" t="s">
        <v>1172</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1441</v>
      </c>
    </row>
    <row r="504" spans="1:70" ht="14.25" customHeight="1" x14ac:dyDescent="0.2">
      <c r="A504" s="91">
        <v>571</v>
      </c>
      <c r="B504" s="229" t="s">
        <v>1439</v>
      </c>
      <c r="C504" s="263" t="s">
        <v>1440</v>
      </c>
      <c r="D504" s="229" t="s">
        <v>1817</v>
      </c>
      <c r="E504" s="3" t="s">
        <v>1172</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1441</v>
      </c>
    </row>
    <row r="505" spans="1:70" ht="14.25" customHeight="1" x14ac:dyDescent="0.2">
      <c r="A505" s="91">
        <v>572</v>
      </c>
      <c r="B505" s="229" t="s">
        <v>1442</v>
      </c>
      <c r="C505" s="263" t="s">
        <v>1443</v>
      </c>
      <c r="D505" s="229" t="s">
        <v>1818</v>
      </c>
      <c r="E505" s="3" t="s">
        <v>1172</v>
      </c>
      <c r="F505" s="26" t="s">
        <v>102</v>
      </c>
      <c r="G505" s="26" t="s">
        <v>55</v>
      </c>
      <c r="H505" s="26" t="s">
        <v>534</v>
      </c>
      <c r="J505" s="22">
        <v>400</v>
      </c>
      <c r="L505" s="28" t="s">
        <v>57</v>
      </c>
      <c r="M505" s="22" t="s">
        <v>58</v>
      </c>
      <c r="N505" s="22" t="s">
        <v>1444</v>
      </c>
      <c r="O505" s="22" t="s">
        <v>59</v>
      </c>
      <c r="P505" s="22" t="s">
        <v>91</v>
      </c>
      <c r="R505" s="23" t="s">
        <v>1947</v>
      </c>
      <c r="V505" s="25" t="s">
        <v>1445</v>
      </c>
      <c r="W505" s="65">
        <v>1</v>
      </c>
      <c r="X505" s="106">
        <v>2</v>
      </c>
      <c r="Y505" s="25" t="s">
        <v>1446</v>
      </c>
      <c r="Z505" s="83" t="s">
        <v>62</v>
      </c>
      <c r="AA505" s="6">
        <v>20</v>
      </c>
      <c r="AB505" s="6">
        <v>13</v>
      </c>
      <c r="AC505" s="5">
        <v>28.6</v>
      </c>
      <c r="AD505" s="5" t="s">
        <v>79</v>
      </c>
      <c r="AE505" s="5" t="s">
        <v>115</v>
      </c>
      <c r="AK505" s="6">
        <v>68.2</v>
      </c>
      <c r="AL505" s="6" t="s">
        <v>80</v>
      </c>
      <c r="AM505" s="6" t="s">
        <v>117</v>
      </c>
      <c r="BQ505" s="6" t="s">
        <v>213</v>
      </c>
      <c r="BR505" s="5" t="s">
        <v>1407</v>
      </c>
    </row>
    <row r="506" spans="1:70" ht="14.25" customHeight="1" x14ac:dyDescent="0.2">
      <c r="A506" s="91">
        <v>573</v>
      </c>
      <c r="B506" s="229" t="s">
        <v>1442</v>
      </c>
      <c r="C506" s="263" t="s">
        <v>1443</v>
      </c>
      <c r="D506" s="229" t="s">
        <v>1819</v>
      </c>
      <c r="E506" s="3" t="s">
        <v>1172</v>
      </c>
      <c r="F506" s="26" t="s">
        <v>102</v>
      </c>
      <c r="G506" s="26" t="s">
        <v>55</v>
      </c>
      <c r="H506" s="26" t="s">
        <v>534</v>
      </c>
      <c r="J506" s="22">
        <v>400</v>
      </c>
      <c r="L506" s="28" t="s">
        <v>57</v>
      </c>
      <c r="M506" s="22" t="s">
        <v>58</v>
      </c>
      <c r="N506" s="22" t="s">
        <v>1447</v>
      </c>
      <c r="O506" s="22" t="s">
        <v>59</v>
      </c>
      <c r="P506" s="22" t="s">
        <v>91</v>
      </c>
      <c r="R506" s="23" t="s">
        <v>1947</v>
      </c>
      <c r="V506" s="25" t="s">
        <v>1445</v>
      </c>
      <c r="W506" s="65">
        <v>1</v>
      </c>
      <c r="X506" s="106">
        <v>2</v>
      </c>
      <c r="Y506" s="25" t="s">
        <v>1446</v>
      </c>
      <c r="Z506" s="83" t="s">
        <v>62</v>
      </c>
      <c r="AA506" s="6">
        <v>19</v>
      </c>
      <c r="AB506" s="6">
        <v>13</v>
      </c>
      <c r="AC506" s="5">
        <v>28.6</v>
      </c>
      <c r="AD506" s="5" t="s">
        <v>79</v>
      </c>
      <c r="AE506" s="5" t="s">
        <v>115</v>
      </c>
      <c r="AK506" s="6">
        <v>68.2</v>
      </c>
      <c r="AL506" s="6" t="s">
        <v>80</v>
      </c>
      <c r="AM506" s="6" t="s">
        <v>117</v>
      </c>
      <c r="BQ506" s="6" t="s">
        <v>213</v>
      </c>
      <c r="BR506" s="5" t="s">
        <v>1448</v>
      </c>
    </row>
    <row r="507" spans="1:70" ht="14.25" customHeight="1" x14ac:dyDescent="0.2">
      <c r="A507" s="91">
        <v>574</v>
      </c>
      <c r="B507" s="229" t="s">
        <v>1449</v>
      </c>
      <c r="C507" s="263" t="s">
        <v>1450</v>
      </c>
      <c r="D507" s="229" t="s">
        <v>1820</v>
      </c>
      <c r="E507" s="3" t="s">
        <v>1172</v>
      </c>
      <c r="F507" s="26" t="s">
        <v>102</v>
      </c>
      <c r="G507" s="26" t="s">
        <v>55</v>
      </c>
      <c r="H507" s="26" t="s">
        <v>56</v>
      </c>
      <c r="J507" s="22">
        <v>1200</v>
      </c>
      <c r="L507" s="28" t="s">
        <v>57</v>
      </c>
      <c r="M507" s="22" t="s">
        <v>58</v>
      </c>
      <c r="N507" s="22">
        <v>0</v>
      </c>
      <c r="O507" s="22" t="s">
        <v>59</v>
      </c>
      <c r="P507" s="22" t="s">
        <v>78</v>
      </c>
      <c r="V507" s="25" t="s">
        <v>435</v>
      </c>
      <c r="Y507" s="25" t="s">
        <v>1451</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1452</v>
      </c>
    </row>
    <row r="508" spans="1:70" ht="14.25" customHeight="1" x14ac:dyDescent="0.2">
      <c r="A508" s="91">
        <v>575</v>
      </c>
      <c r="B508" s="229" t="s">
        <v>1449</v>
      </c>
      <c r="C508" s="263" t="s">
        <v>1450</v>
      </c>
      <c r="D508" s="229" t="s">
        <v>1821</v>
      </c>
      <c r="E508" s="3" t="s">
        <v>1172</v>
      </c>
      <c r="F508" s="26" t="s">
        <v>102</v>
      </c>
      <c r="G508" s="26" t="s">
        <v>55</v>
      </c>
      <c r="H508" s="26" t="s">
        <v>56</v>
      </c>
      <c r="J508" s="22">
        <v>1200</v>
      </c>
      <c r="L508" s="28" t="s">
        <v>57</v>
      </c>
      <c r="M508" s="22" t="s">
        <v>58</v>
      </c>
      <c r="N508" s="22">
        <v>144</v>
      </c>
      <c r="O508" s="22" t="s">
        <v>59</v>
      </c>
      <c r="P508" s="22" t="s">
        <v>78</v>
      </c>
      <c r="R508" s="177"/>
      <c r="V508" s="25" t="s">
        <v>435</v>
      </c>
      <c r="Y508" s="25" t="s">
        <v>1451</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1453</v>
      </c>
    </row>
    <row r="509" spans="1:70" ht="14.25" customHeight="1" x14ac:dyDescent="0.2">
      <c r="A509" s="91">
        <v>576</v>
      </c>
      <c r="B509" s="229" t="s">
        <v>1454</v>
      </c>
      <c r="C509" s="263" t="s">
        <v>1455</v>
      </c>
      <c r="D509" s="229" t="s">
        <v>1456</v>
      </c>
      <c r="E509" s="3" t="s">
        <v>1405</v>
      </c>
      <c r="F509" s="26" t="s">
        <v>102</v>
      </c>
      <c r="G509" s="26" t="s">
        <v>55</v>
      </c>
      <c r="H509" s="26" t="s">
        <v>534</v>
      </c>
      <c r="J509" s="22">
        <v>300</v>
      </c>
      <c r="L509" s="28" t="s">
        <v>57</v>
      </c>
      <c r="M509" s="22" t="s">
        <v>58</v>
      </c>
      <c r="N509" s="22" t="s">
        <v>1596</v>
      </c>
      <c r="O509" s="22" t="s">
        <v>59</v>
      </c>
      <c r="P509" s="22" t="s">
        <v>91</v>
      </c>
      <c r="R509" s="177" t="s">
        <v>1419</v>
      </c>
      <c r="V509" s="25" t="s">
        <v>435</v>
      </c>
      <c r="Y509" s="25" t="s">
        <v>1457</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1458</v>
      </c>
    </row>
    <row r="510" spans="1:70" ht="14.25" customHeight="1" x14ac:dyDescent="0.2">
      <c r="A510" s="91">
        <v>577</v>
      </c>
      <c r="B510" s="229" t="s">
        <v>1454</v>
      </c>
      <c r="C510" s="263" t="s">
        <v>1455</v>
      </c>
      <c r="D510" s="229" t="s">
        <v>1459</v>
      </c>
      <c r="E510" s="3" t="s">
        <v>1405</v>
      </c>
      <c r="F510" s="26" t="s">
        <v>102</v>
      </c>
      <c r="G510" s="26" t="s">
        <v>55</v>
      </c>
      <c r="H510" s="26" t="s">
        <v>534</v>
      </c>
      <c r="J510" s="22">
        <v>300</v>
      </c>
      <c r="L510" s="28" t="s">
        <v>57</v>
      </c>
      <c r="M510" s="22" t="s">
        <v>58</v>
      </c>
      <c r="N510" s="22" t="s">
        <v>1597</v>
      </c>
      <c r="O510" s="22" t="s">
        <v>59</v>
      </c>
      <c r="P510" s="22" t="s">
        <v>91</v>
      </c>
      <c r="R510" s="23" t="s">
        <v>1419</v>
      </c>
      <c r="V510" s="25" t="s">
        <v>435</v>
      </c>
      <c r="Y510" s="25" t="s">
        <v>1457</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1460</v>
      </c>
    </row>
    <row r="511" spans="1:70" ht="14.25" customHeight="1" x14ac:dyDescent="0.2">
      <c r="A511" s="91">
        <v>578</v>
      </c>
      <c r="B511" s="229" t="s">
        <v>1454</v>
      </c>
      <c r="C511" s="263" t="s">
        <v>1455</v>
      </c>
      <c r="D511" s="229" t="s">
        <v>1461</v>
      </c>
      <c r="E511" s="123" t="s">
        <v>1172</v>
      </c>
      <c r="F511" s="179" t="s">
        <v>102</v>
      </c>
      <c r="G511" s="26" t="s">
        <v>55</v>
      </c>
      <c r="H511" s="26" t="s">
        <v>539</v>
      </c>
      <c r="J511" s="22">
        <v>400</v>
      </c>
      <c r="K511" s="180"/>
      <c r="L511" s="180" t="s">
        <v>57</v>
      </c>
      <c r="M511" s="22" t="s">
        <v>58</v>
      </c>
      <c r="N511" s="22" t="s">
        <v>1462</v>
      </c>
      <c r="O511" s="176" t="s">
        <v>59</v>
      </c>
      <c r="P511" s="22" t="s">
        <v>91</v>
      </c>
      <c r="Q511" s="177"/>
      <c r="R511" s="23" t="s">
        <v>1463</v>
      </c>
      <c r="T511" s="177"/>
      <c r="U511" s="177"/>
      <c r="V511" s="165" t="s">
        <v>435</v>
      </c>
      <c r="Y511" s="25" t="s">
        <v>1457</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1458</v>
      </c>
    </row>
    <row r="512" spans="1:70" ht="14.25" x14ac:dyDescent="0.2">
      <c r="A512" s="91">
        <v>579</v>
      </c>
      <c r="B512" s="229" t="s">
        <v>1454</v>
      </c>
      <c r="C512" s="263" t="s">
        <v>1455</v>
      </c>
      <c r="D512" s="229" t="s">
        <v>1464</v>
      </c>
      <c r="E512" s="123" t="s">
        <v>1172</v>
      </c>
      <c r="F512" s="179" t="s">
        <v>102</v>
      </c>
      <c r="G512" s="26" t="s">
        <v>55</v>
      </c>
      <c r="H512" s="26" t="s">
        <v>539</v>
      </c>
      <c r="J512" s="22">
        <v>400</v>
      </c>
      <c r="K512" s="180"/>
      <c r="L512" s="180" t="s">
        <v>57</v>
      </c>
      <c r="M512" s="22" t="s">
        <v>58</v>
      </c>
      <c r="N512" s="22" t="s">
        <v>1597</v>
      </c>
      <c r="O512" s="176" t="s">
        <v>59</v>
      </c>
      <c r="P512" s="22" t="s">
        <v>91</v>
      </c>
      <c r="Q512" s="177"/>
      <c r="R512" s="23" t="s">
        <v>1463</v>
      </c>
      <c r="T512" s="177"/>
      <c r="U512" s="177"/>
      <c r="V512" s="165" t="s">
        <v>435</v>
      </c>
      <c r="Y512" s="25" t="s">
        <v>1457</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1460</v>
      </c>
    </row>
    <row r="513" spans="1:70" ht="14.25" x14ac:dyDescent="0.2">
      <c r="A513" s="91">
        <v>580</v>
      </c>
      <c r="B513" s="229" t="s">
        <v>1465</v>
      </c>
      <c r="C513" s="263" t="s">
        <v>1466</v>
      </c>
      <c r="D513" s="229" t="s">
        <v>1467</v>
      </c>
      <c r="E513" s="123" t="s">
        <v>1405</v>
      </c>
      <c r="F513" s="179" t="s">
        <v>102</v>
      </c>
      <c r="G513" s="26" t="s">
        <v>55</v>
      </c>
      <c r="H513" s="26" t="s">
        <v>56</v>
      </c>
      <c r="J513" s="22">
        <v>300</v>
      </c>
      <c r="K513" s="180"/>
      <c r="L513" s="180" t="s">
        <v>57</v>
      </c>
      <c r="M513" s="22" t="s">
        <v>58</v>
      </c>
      <c r="N513" s="176" t="s">
        <v>1444</v>
      </c>
      <c r="O513" s="176" t="s">
        <v>59</v>
      </c>
      <c r="P513" s="22" t="s">
        <v>91</v>
      </c>
      <c r="Q513" s="177"/>
      <c r="R513" s="23" t="s">
        <v>1468</v>
      </c>
      <c r="T513" s="177"/>
      <c r="U513" s="177"/>
      <c r="V513" s="165" t="s">
        <v>435</v>
      </c>
      <c r="Y513" s="25" t="s">
        <v>1469</v>
      </c>
      <c r="Z513" s="167" t="s">
        <v>62</v>
      </c>
      <c r="AA513" s="6">
        <v>10</v>
      </c>
      <c r="AB513" s="6">
        <v>5</v>
      </c>
      <c r="AC513" s="5">
        <v>34</v>
      </c>
      <c r="AD513" s="163" t="s">
        <v>79</v>
      </c>
      <c r="AI513" s="5">
        <v>23</v>
      </c>
      <c r="AJ513" s="5">
        <v>48</v>
      </c>
      <c r="AK513" s="6">
        <v>78</v>
      </c>
      <c r="AL513" s="6" t="s">
        <v>80</v>
      </c>
      <c r="AQ513" s="6">
        <v>55</v>
      </c>
      <c r="AR513" s="6">
        <v>109</v>
      </c>
      <c r="BQ513" s="6" t="s">
        <v>213</v>
      </c>
      <c r="BR513" s="5" t="s">
        <v>1470</v>
      </c>
    </row>
    <row r="514" spans="1:70" ht="14.25" x14ac:dyDescent="0.2">
      <c r="A514" s="91">
        <v>581</v>
      </c>
      <c r="B514" s="229" t="s">
        <v>1519</v>
      </c>
      <c r="C514" s="263" t="s">
        <v>1471</v>
      </c>
      <c r="D514" s="229" t="s">
        <v>1521</v>
      </c>
      <c r="E514" s="123" t="s">
        <v>1405</v>
      </c>
      <c r="F514" s="179" t="s">
        <v>102</v>
      </c>
      <c r="G514" s="26" t="s">
        <v>55</v>
      </c>
      <c r="H514" s="26" t="s">
        <v>1472</v>
      </c>
      <c r="J514" s="22">
        <v>200</v>
      </c>
      <c r="K514" s="180"/>
      <c r="L514" s="180" t="s">
        <v>57</v>
      </c>
      <c r="M514" s="22" t="s">
        <v>58</v>
      </c>
      <c r="N514" s="22" t="s">
        <v>1136</v>
      </c>
      <c r="O514" s="176" t="s">
        <v>59</v>
      </c>
      <c r="P514" s="22" t="s">
        <v>91</v>
      </c>
      <c r="Q514" s="177"/>
      <c r="R514" s="23" t="s">
        <v>1473</v>
      </c>
      <c r="T514" s="177"/>
      <c r="U514" s="177"/>
      <c r="V514" s="165" t="s">
        <v>435</v>
      </c>
      <c r="Y514" s="25" t="s">
        <v>1474</v>
      </c>
      <c r="Z514" s="167" t="s">
        <v>62</v>
      </c>
      <c r="AA514" s="6">
        <v>8</v>
      </c>
      <c r="AB514" s="6">
        <v>0</v>
      </c>
      <c r="AD514" s="163"/>
      <c r="BQ514" s="6" t="s">
        <v>213</v>
      </c>
    </row>
    <row r="515" spans="1:70" ht="14.25" x14ac:dyDescent="0.2">
      <c r="A515" s="91">
        <v>582</v>
      </c>
      <c r="B515" s="229" t="s">
        <v>1519</v>
      </c>
      <c r="C515" s="263" t="s">
        <v>1471</v>
      </c>
      <c r="D515" s="229" t="s">
        <v>1522</v>
      </c>
      <c r="E515" s="123" t="s">
        <v>1405</v>
      </c>
      <c r="F515" s="179" t="s">
        <v>102</v>
      </c>
      <c r="G515" s="26" t="s">
        <v>55</v>
      </c>
      <c r="H515" s="26" t="s">
        <v>1472</v>
      </c>
      <c r="J515" s="22">
        <v>200</v>
      </c>
      <c r="K515" s="180"/>
      <c r="L515" s="180" t="s">
        <v>57</v>
      </c>
      <c r="M515" s="22" t="s">
        <v>58</v>
      </c>
      <c r="N515" s="176" t="s">
        <v>1136</v>
      </c>
      <c r="O515" s="176" t="s">
        <v>59</v>
      </c>
      <c r="P515" s="22" t="s">
        <v>91</v>
      </c>
      <c r="Q515" s="177"/>
      <c r="R515" s="23" t="s">
        <v>1473</v>
      </c>
      <c r="T515" s="177"/>
      <c r="U515" s="177"/>
      <c r="V515" s="165" t="s">
        <v>435</v>
      </c>
      <c r="Y515" s="25" t="s">
        <v>1474</v>
      </c>
      <c r="Z515" s="167" t="s">
        <v>62</v>
      </c>
      <c r="AA515" s="6">
        <v>8</v>
      </c>
      <c r="AB515" s="6">
        <v>0</v>
      </c>
      <c r="AD515" s="163"/>
      <c r="BQ515" s="6" t="s">
        <v>213</v>
      </c>
    </row>
    <row r="516" spans="1:70" ht="14.25" customHeight="1" x14ac:dyDescent="0.2">
      <c r="A516" s="91">
        <v>583</v>
      </c>
      <c r="B516" s="229" t="s">
        <v>1519</v>
      </c>
      <c r="C516" s="263" t="s">
        <v>1471</v>
      </c>
      <c r="D516" s="229" t="s">
        <v>1523</v>
      </c>
      <c r="E516" s="3" t="s">
        <v>1405</v>
      </c>
      <c r="F516" s="26" t="s">
        <v>102</v>
      </c>
      <c r="G516" s="26" t="s">
        <v>55</v>
      </c>
      <c r="H516" s="26" t="s">
        <v>1475</v>
      </c>
      <c r="J516" s="22">
        <v>400</v>
      </c>
      <c r="L516" s="28" t="s">
        <v>57</v>
      </c>
      <c r="M516" s="22" t="s">
        <v>58</v>
      </c>
      <c r="N516" s="22" t="s">
        <v>1136</v>
      </c>
      <c r="O516" s="22" t="s">
        <v>59</v>
      </c>
      <c r="P516" s="22" t="s">
        <v>91</v>
      </c>
      <c r="R516" s="23" t="s">
        <v>1473</v>
      </c>
      <c r="V516" s="25" t="s">
        <v>435</v>
      </c>
      <c r="Y516" s="25" t="s">
        <v>1474</v>
      </c>
      <c r="Z516" s="83" t="s">
        <v>62</v>
      </c>
      <c r="AA516" s="6">
        <v>8</v>
      </c>
      <c r="AB516" s="6">
        <v>0</v>
      </c>
      <c r="BQ516" s="6" t="s">
        <v>213</v>
      </c>
    </row>
    <row r="517" spans="1:70" ht="14.25" customHeight="1" x14ac:dyDescent="0.2">
      <c r="A517" s="91">
        <v>584</v>
      </c>
      <c r="B517" s="229" t="s">
        <v>1519</v>
      </c>
      <c r="C517" s="263" t="s">
        <v>1471</v>
      </c>
      <c r="D517" s="229" t="s">
        <v>1524</v>
      </c>
      <c r="E517" s="3" t="s">
        <v>1405</v>
      </c>
      <c r="F517" s="26" t="s">
        <v>102</v>
      </c>
      <c r="G517" s="26" t="s">
        <v>55</v>
      </c>
      <c r="H517" s="26" t="s">
        <v>1475</v>
      </c>
      <c r="J517" s="22">
        <v>400</v>
      </c>
      <c r="L517" s="28" t="s">
        <v>57</v>
      </c>
      <c r="M517" s="22" t="s">
        <v>58</v>
      </c>
      <c r="N517" s="22" t="s">
        <v>1136</v>
      </c>
      <c r="O517" s="22" t="s">
        <v>59</v>
      </c>
      <c r="P517" s="22" t="s">
        <v>91</v>
      </c>
      <c r="R517" s="23" t="s">
        <v>1473</v>
      </c>
      <c r="V517" s="25" t="s">
        <v>435</v>
      </c>
      <c r="Y517" s="25" t="s">
        <v>1474</v>
      </c>
      <c r="Z517" s="83" t="s">
        <v>62</v>
      </c>
      <c r="AA517" s="6">
        <v>8</v>
      </c>
      <c r="AB517" s="6">
        <v>0</v>
      </c>
      <c r="BQ517" s="6" t="s">
        <v>213</v>
      </c>
    </row>
    <row r="518" spans="1:70" ht="14.25" customHeight="1" x14ac:dyDescent="0.2">
      <c r="A518" s="91">
        <v>585</v>
      </c>
      <c r="B518" s="229" t="s">
        <v>1520</v>
      </c>
      <c r="C518" s="263" t="s">
        <v>1471</v>
      </c>
      <c r="D518" s="229" t="s">
        <v>1525</v>
      </c>
      <c r="E518" s="3" t="s">
        <v>1405</v>
      </c>
      <c r="F518" s="26" t="s">
        <v>102</v>
      </c>
      <c r="G518" s="26" t="s">
        <v>55</v>
      </c>
      <c r="H518" s="26" t="s">
        <v>1476</v>
      </c>
      <c r="J518" s="22">
        <v>300</v>
      </c>
      <c r="L518" s="28" t="s">
        <v>57</v>
      </c>
      <c r="M518" s="22" t="s">
        <v>58</v>
      </c>
      <c r="N518" s="22" t="s">
        <v>1477</v>
      </c>
      <c r="O518" s="22" t="s">
        <v>59</v>
      </c>
      <c r="P518" s="22" t="s">
        <v>91</v>
      </c>
      <c r="R518" s="23" t="s">
        <v>1478</v>
      </c>
      <c r="V518" s="25" t="s">
        <v>435</v>
      </c>
      <c r="Y518" s="25" t="s">
        <v>1479</v>
      </c>
      <c r="Z518" s="83" t="s">
        <v>62</v>
      </c>
      <c r="AA518" s="6">
        <v>30</v>
      </c>
      <c r="BQ518" s="6" t="s">
        <v>213</v>
      </c>
    </row>
    <row r="519" spans="1:70" ht="14.25" customHeight="1" x14ac:dyDescent="0.2">
      <c r="A519" s="91">
        <v>586</v>
      </c>
      <c r="B519" s="229" t="s">
        <v>1526</v>
      </c>
      <c r="C519" s="263" t="s">
        <v>1480</v>
      </c>
      <c r="D519" s="229" t="s">
        <v>1509</v>
      </c>
      <c r="E519" s="3" t="s">
        <v>1405</v>
      </c>
      <c r="F519" s="26" t="s">
        <v>102</v>
      </c>
      <c r="G519" s="26" t="s">
        <v>55</v>
      </c>
      <c r="H519" s="26" t="s">
        <v>1481</v>
      </c>
      <c r="J519" s="22">
        <v>400</v>
      </c>
      <c r="L519" s="28" t="s">
        <v>57</v>
      </c>
      <c r="M519" s="22" t="s">
        <v>58</v>
      </c>
      <c r="N519" s="22" t="s">
        <v>1136</v>
      </c>
      <c r="O519" s="22" t="s">
        <v>59</v>
      </c>
      <c r="P519" s="22" t="s">
        <v>91</v>
      </c>
      <c r="R519" s="23" t="s">
        <v>1482</v>
      </c>
      <c r="V519" s="25" t="s">
        <v>435</v>
      </c>
      <c r="Y519" s="25" t="s">
        <v>1483</v>
      </c>
      <c r="Z519" s="83" t="s">
        <v>62</v>
      </c>
      <c r="AA519" s="6">
        <v>65</v>
      </c>
      <c r="BQ519" s="6" t="s">
        <v>213</v>
      </c>
    </row>
    <row r="520" spans="1:70" ht="14.25" customHeight="1" x14ac:dyDescent="0.2">
      <c r="A520" s="91">
        <v>587</v>
      </c>
      <c r="B520" s="229" t="s">
        <v>1526</v>
      </c>
      <c r="C520" s="263" t="s">
        <v>1480</v>
      </c>
      <c r="D520" s="229" t="s">
        <v>1510</v>
      </c>
      <c r="E520" s="3" t="s">
        <v>1405</v>
      </c>
      <c r="F520" s="26" t="s">
        <v>102</v>
      </c>
      <c r="G520" s="26" t="s">
        <v>55</v>
      </c>
      <c r="H520" s="26" t="s">
        <v>1481</v>
      </c>
      <c r="J520" s="22">
        <v>800</v>
      </c>
      <c r="L520" s="28" t="s">
        <v>57</v>
      </c>
      <c r="M520" s="22" t="s">
        <v>58</v>
      </c>
      <c r="N520" s="22" t="s">
        <v>1136</v>
      </c>
      <c r="O520" s="22" t="s">
        <v>59</v>
      </c>
      <c r="P520" s="22" t="s">
        <v>91</v>
      </c>
      <c r="R520" s="23" t="s">
        <v>1482</v>
      </c>
      <c r="V520" s="25" t="s">
        <v>435</v>
      </c>
      <c r="Y520" s="25" t="s">
        <v>1483</v>
      </c>
      <c r="Z520" s="83" t="s">
        <v>62</v>
      </c>
      <c r="AA520" s="6">
        <v>66</v>
      </c>
      <c r="BQ520" s="6" t="s">
        <v>213</v>
      </c>
    </row>
    <row r="521" spans="1:70" ht="14.25" customHeight="1" x14ac:dyDescent="0.2">
      <c r="A521" s="91">
        <v>588</v>
      </c>
      <c r="B521" s="229" t="s">
        <v>1484</v>
      </c>
      <c r="C521" s="263" t="s">
        <v>1485</v>
      </c>
      <c r="D521" s="229" t="s">
        <v>1486</v>
      </c>
      <c r="E521" s="3" t="s">
        <v>572</v>
      </c>
      <c r="F521" s="26" t="s">
        <v>102</v>
      </c>
      <c r="G521" s="26" t="s">
        <v>55</v>
      </c>
      <c r="H521" s="26" t="s">
        <v>299</v>
      </c>
      <c r="J521" s="22">
        <v>250</v>
      </c>
      <c r="L521" s="28" t="s">
        <v>57</v>
      </c>
      <c r="M521" s="22" t="s">
        <v>58</v>
      </c>
      <c r="N521" s="22">
        <v>0</v>
      </c>
      <c r="O521" s="22" t="s">
        <v>59</v>
      </c>
      <c r="P521" s="22" t="s">
        <v>78</v>
      </c>
      <c r="R521" s="23" t="s">
        <v>1487</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1484</v>
      </c>
      <c r="C522" s="263" t="s">
        <v>1485</v>
      </c>
      <c r="D522" s="229" t="s">
        <v>1488</v>
      </c>
      <c r="E522" s="3" t="s">
        <v>572</v>
      </c>
      <c r="F522" s="26" t="s">
        <v>102</v>
      </c>
      <c r="G522" s="26" t="s">
        <v>55</v>
      </c>
      <c r="H522" s="26" t="s">
        <v>299</v>
      </c>
      <c r="J522" s="22">
        <v>250</v>
      </c>
      <c r="L522" s="28" t="s">
        <v>57</v>
      </c>
      <c r="M522" s="22" t="s">
        <v>58</v>
      </c>
      <c r="N522" s="22">
        <v>0</v>
      </c>
      <c r="O522" s="22" t="s">
        <v>59</v>
      </c>
      <c r="P522" s="22" t="s">
        <v>78</v>
      </c>
      <c r="R522" s="23" t="s">
        <v>1487</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1484</v>
      </c>
      <c r="C523" s="263" t="s">
        <v>1485</v>
      </c>
      <c r="D523" s="229" t="s">
        <v>1489</v>
      </c>
      <c r="E523" s="3" t="s">
        <v>572</v>
      </c>
      <c r="F523" s="26" t="s">
        <v>102</v>
      </c>
      <c r="G523" s="26" t="s">
        <v>55</v>
      </c>
      <c r="H523" s="26" t="s">
        <v>299</v>
      </c>
      <c r="J523" s="22">
        <v>250</v>
      </c>
      <c r="L523" s="28" t="s">
        <v>57</v>
      </c>
      <c r="M523" s="22" t="s">
        <v>58</v>
      </c>
      <c r="N523" s="22">
        <v>0</v>
      </c>
      <c r="O523" s="22" t="s">
        <v>59</v>
      </c>
      <c r="P523" s="22" t="s">
        <v>78</v>
      </c>
      <c r="R523" s="23" t="s">
        <v>1487</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1484</v>
      </c>
      <c r="C524" s="263" t="s">
        <v>1485</v>
      </c>
      <c r="D524" s="229" t="s">
        <v>1490</v>
      </c>
      <c r="E524" s="3" t="s">
        <v>572</v>
      </c>
      <c r="F524" s="26" t="s">
        <v>102</v>
      </c>
      <c r="G524" s="26" t="s">
        <v>55</v>
      </c>
      <c r="H524" s="26" t="s">
        <v>299</v>
      </c>
      <c r="J524" s="22">
        <v>250</v>
      </c>
      <c r="L524" s="28" t="s">
        <v>57</v>
      </c>
      <c r="M524" s="22" t="s">
        <v>58</v>
      </c>
      <c r="N524" s="22">
        <v>0</v>
      </c>
      <c r="O524" s="22" t="s">
        <v>59</v>
      </c>
      <c r="P524" s="22" t="s">
        <v>78</v>
      </c>
      <c r="R524" s="23" t="s">
        <v>1487</v>
      </c>
      <c r="T524" s="23">
        <v>50</v>
      </c>
      <c r="V524" s="25" t="s">
        <v>435</v>
      </c>
      <c r="X524" s="106">
        <v>0</v>
      </c>
      <c r="Y524" s="25" t="s">
        <v>1491</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1527</v>
      </c>
      <c r="C525" s="263" t="s">
        <v>1528</v>
      </c>
      <c r="D525" s="229" t="s">
        <v>1595</v>
      </c>
      <c r="E525" s="3" t="s">
        <v>355</v>
      </c>
      <c r="F525" s="26" t="s">
        <v>54</v>
      </c>
      <c r="G525" s="26" t="s">
        <v>55</v>
      </c>
      <c r="H525" s="26" t="s">
        <v>406</v>
      </c>
      <c r="J525" s="22">
        <v>250</v>
      </c>
      <c r="L525" s="28" t="s">
        <v>57</v>
      </c>
      <c r="M525" s="22" t="s">
        <v>77</v>
      </c>
      <c r="N525" s="22">
        <v>0</v>
      </c>
      <c r="O525" s="22" t="s">
        <v>59</v>
      </c>
      <c r="P525" s="22" t="s">
        <v>78</v>
      </c>
      <c r="Q525" s="23" t="s">
        <v>1827</v>
      </c>
      <c r="R525" s="23" t="s">
        <v>1828</v>
      </c>
      <c r="S525" s="24">
        <v>3</v>
      </c>
      <c r="U525" s="23" t="s">
        <v>1829</v>
      </c>
      <c r="V525" s="25" t="s">
        <v>613</v>
      </c>
      <c r="W525" s="65" t="s">
        <v>730</v>
      </c>
      <c r="Y525" s="25" t="s">
        <v>1830</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1831</v>
      </c>
      <c r="BR525" s="5" t="s">
        <v>1832</v>
      </c>
    </row>
    <row r="526" spans="1:70" ht="14.25" customHeight="1" x14ac:dyDescent="0.2">
      <c r="A526" s="203">
        <v>593</v>
      </c>
      <c r="B526" s="229" t="s">
        <v>1527</v>
      </c>
      <c r="C526" s="263" t="s">
        <v>1528</v>
      </c>
      <c r="D526" s="229" t="s">
        <v>1591</v>
      </c>
      <c r="E526" s="3" t="s">
        <v>355</v>
      </c>
      <c r="F526" s="26" t="s">
        <v>54</v>
      </c>
      <c r="G526" s="26" t="s">
        <v>55</v>
      </c>
      <c r="H526" s="26" t="s">
        <v>491</v>
      </c>
      <c r="J526" s="22">
        <v>125</v>
      </c>
      <c r="L526" s="28" t="s">
        <v>57</v>
      </c>
      <c r="M526" s="22" t="s">
        <v>77</v>
      </c>
      <c r="N526" s="22">
        <v>0</v>
      </c>
      <c r="O526" s="22" t="s">
        <v>59</v>
      </c>
      <c r="P526" s="22" t="s">
        <v>78</v>
      </c>
      <c r="Q526" s="23" t="s">
        <v>1827</v>
      </c>
      <c r="R526" s="23" t="s">
        <v>1828</v>
      </c>
      <c r="S526" s="24">
        <v>15</v>
      </c>
      <c r="U526" s="23" t="s">
        <v>1829</v>
      </c>
      <c r="V526" s="25" t="s">
        <v>613</v>
      </c>
      <c r="W526" s="65" t="s">
        <v>730</v>
      </c>
      <c r="Y526" s="25" t="s">
        <v>1830</v>
      </c>
      <c r="Z526" s="83" t="s">
        <v>62</v>
      </c>
      <c r="AA526" s="6">
        <v>5</v>
      </c>
      <c r="AB526" s="6">
        <v>2</v>
      </c>
      <c r="AD526" s="5" t="s">
        <v>79</v>
      </c>
      <c r="AI526" s="5">
        <v>19</v>
      </c>
      <c r="AJ526" s="5">
        <v>20</v>
      </c>
      <c r="AL526" s="6" t="s">
        <v>80</v>
      </c>
      <c r="AQ526" s="6">
        <v>61.2</v>
      </c>
      <c r="AR526" s="6">
        <v>77.3</v>
      </c>
      <c r="BQ526" s="6" t="s">
        <v>1831</v>
      </c>
      <c r="BR526" s="5" t="s">
        <v>1833</v>
      </c>
    </row>
    <row r="527" spans="1:70" ht="14.25" customHeight="1" x14ac:dyDescent="0.2">
      <c r="A527" s="203">
        <v>594</v>
      </c>
      <c r="B527" s="229" t="s">
        <v>1527</v>
      </c>
      <c r="C527" s="263" t="s">
        <v>1528</v>
      </c>
      <c r="D527" s="229" t="s">
        <v>1592</v>
      </c>
      <c r="E527" s="3" t="s">
        <v>355</v>
      </c>
      <c r="F527" s="26" t="s">
        <v>54</v>
      </c>
      <c r="G527" s="26" t="s">
        <v>55</v>
      </c>
      <c r="H527" s="26" t="s">
        <v>491</v>
      </c>
      <c r="J527" s="22">
        <v>250</v>
      </c>
      <c r="L527" s="28" t="s">
        <v>57</v>
      </c>
      <c r="M527" s="22" t="s">
        <v>77</v>
      </c>
      <c r="N527" s="22">
        <v>0</v>
      </c>
      <c r="O527" s="22" t="s">
        <v>59</v>
      </c>
      <c r="P527" s="22" t="s">
        <v>78</v>
      </c>
      <c r="Q527" s="23" t="s">
        <v>1827</v>
      </c>
      <c r="R527" s="23" t="s">
        <v>1828</v>
      </c>
      <c r="S527" s="24">
        <v>15</v>
      </c>
      <c r="U527" s="23" t="s">
        <v>1829</v>
      </c>
      <c r="V527" s="25" t="s">
        <v>613</v>
      </c>
      <c r="W527" s="65" t="s">
        <v>730</v>
      </c>
      <c r="Y527" s="25" t="s">
        <v>1830</v>
      </c>
      <c r="Z527" s="83" t="s">
        <v>62</v>
      </c>
      <c r="AA527" s="6">
        <v>5</v>
      </c>
      <c r="AB527" s="6">
        <v>2</v>
      </c>
      <c r="AD527" s="5" t="s">
        <v>79</v>
      </c>
      <c r="AI527" s="5">
        <v>19</v>
      </c>
      <c r="AJ527" s="5">
        <v>20</v>
      </c>
      <c r="AL527" s="6" t="s">
        <v>80</v>
      </c>
      <c r="AQ527" s="6">
        <v>61.2</v>
      </c>
      <c r="AR527" s="6">
        <v>77.3</v>
      </c>
      <c r="BQ527" s="6" t="s">
        <v>1831</v>
      </c>
      <c r="BR527" s="5" t="s">
        <v>1833</v>
      </c>
    </row>
    <row r="528" spans="1:70" ht="14.25" x14ac:dyDescent="0.2">
      <c r="A528" s="203">
        <v>595</v>
      </c>
      <c r="B528" s="229" t="s">
        <v>1527</v>
      </c>
      <c r="C528" s="263" t="s">
        <v>1528</v>
      </c>
      <c r="D528" s="229" t="s">
        <v>1593</v>
      </c>
      <c r="E528" s="3" t="s">
        <v>355</v>
      </c>
      <c r="F528" s="179" t="s">
        <v>54</v>
      </c>
      <c r="G528" s="179" t="s">
        <v>55</v>
      </c>
      <c r="H528" s="26" t="s">
        <v>491</v>
      </c>
      <c r="J528" s="22">
        <v>500</v>
      </c>
      <c r="L528" s="28" t="s">
        <v>57</v>
      </c>
      <c r="M528" s="22" t="s">
        <v>77</v>
      </c>
      <c r="N528" s="22">
        <v>0</v>
      </c>
      <c r="O528" s="22" t="s">
        <v>59</v>
      </c>
      <c r="P528" s="22" t="s">
        <v>78</v>
      </c>
      <c r="Q528" s="23" t="s">
        <v>1827</v>
      </c>
      <c r="R528" s="23" t="s">
        <v>1828</v>
      </c>
      <c r="S528" s="24">
        <v>15</v>
      </c>
      <c r="U528" s="23" t="s">
        <v>1829</v>
      </c>
      <c r="V528" s="25" t="s">
        <v>613</v>
      </c>
      <c r="W528" s="65" t="s">
        <v>730</v>
      </c>
      <c r="Y528" s="25" t="s">
        <v>1830</v>
      </c>
      <c r="Z528" s="83" t="s">
        <v>62</v>
      </c>
      <c r="AA528" s="6">
        <v>4</v>
      </c>
      <c r="AB528" s="6">
        <v>1</v>
      </c>
      <c r="AD528" s="5" t="s">
        <v>79</v>
      </c>
      <c r="AI528" s="5">
        <v>19</v>
      </c>
      <c r="AJ528" s="5">
        <v>20</v>
      </c>
      <c r="AL528" s="6" t="s">
        <v>80</v>
      </c>
      <c r="AQ528" s="6">
        <v>61.2</v>
      </c>
      <c r="AR528" s="6">
        <v>77.3</v>
      </c>
      <c r="BQ528" s="6" t="s">
        <v>1831</v>
      </c>
      <c r="BR528" s="5" t="s">
        <v>1833</v>
      </c>
    </row>
    <row r="529" spans="1:70" ht="14.25" x14ac:dyDescent="0.2">
      <c r="A529" s="203">
        <v>596</v>
      </c>
      <c r="B529" s="229" t="s">
        <v>1527</v>
      </c>
      <c r="C529" s="263" t="s">
        <v>1528</v>
      </c>
      <c r="D529" s="229" t="s">
        <v>1594</v>
      </c>
      <c r="E529" s="123" t="s">
        <v>355</v>
      </c>
      <c r="F529" s="179" t="s">
        <v>54</v>
      </c>
      <c r="G529" s="179" t="s">
        <v>55</v>
      </c>
      <c r="H529" s="179" t="s">
        <v>491</v>
      </c>
      <c r="J529" s="22">
        <v>900</v>
      </c>
      <c r="L529" s="28" t="s">
        <v>57</v>
      </c>
      <c r="M529" s="22" t="s">
        <v>77</v>
      </c>
      <c r="N529" s="22">
        <v>0</v>
      </c>
      <c r="O529" s="22" t="s">
        <v>59</v>
      </c>
      <c r="P529" s="22" t="s">
        <v>78</v>
      </c>
      <c r="Q529" s="23" t="s">
        <v>1827</v>
      </c>
      <c r="R529" s="23" t="s">
        <v>1828</v>
      </c>
      <c r="S529" s="24">
        <v>15</v>
      </c>
      <c r="U529" s="23" t="s">
        <v>1829</v>
      </c>
      <c r="V529" s="25" t="s">
        <v>613</v>
      </c>
      <c r="W529" s="65" t="s">
        <v>730</v>
      </c>
      <c r="Y529" s="25" t="s">
        <v>1830</v>
      </c>
      <c r="Z529" s="83" t="s">
        <v>62</v>
      </c>
      <c r="AA529" s="6">
        <v>3</v>
      </c>
      <c r="AB529" s="6">
        <v>1</v>
      </c>
      <c r="AD529" s="5" t="s">
        <v>79</v>
      </c>
      <c r="AI529" s="5">
        <v>19</v>
      </c>
      <c r="AJ529" s="5">
        <v>19</v>
      </c>
      <c r="AL529" s="6" t="s">
        <v>80</v>
      </c>
      <c r="AQ529" s="6">
        <v>62.2</v>
      </c>
      <c r="AR529" s="6">
        <v>77.3</v>
      </c>
      <c r="BQ529" s="6" t="s">
        <v>1831</v>
      </c>
      <c r="BR529" s="5" t="s">
        <v>1833</v>
      </c>
    </row>
    <row r="530" spans="1:70" ht="14.25" x14ac:dyDescent="0.2">
      <c r="A530" s="203">
        <v>597</v>
      </c>
      <c r="B530" s="229" t="s">
        <v>1529</v>
      </c>
      <c r="C530" s="263" t="s">
        <v>1530</v>
      </c>
      <c r="D530" s="229" t="s">
        <v>1531</v>
      </c>
      <c r="E530" s="123" t="s">
        <v>355</v>
      </c>
      <c r="F530" s="179" t="s">
        <v>54</v>
      </c>
      <c r="G530" s="179" t="s">
        <v>55</v>
      </c>
      <c r="H530" s="179" t="s">
        <v>56</v>
      </c>
      <c r="J530" s="22">
        <v>500</v>
      </c>
      <c r="L530" s="28" t="s">
        <v>57</v>
      </c>
      <c r="M530" s="22" t="s">
        <v>77</v>
      </c>
      <c r="N530" s="22">
        <v>0</v>
      </c>
      <c r="O530" s="22" t="s">
        <v>59</v>
      </c>
      <c r="P530" s="22" t="s">
        <v>78</v>
      </c>
      <c r="Q530" s="23" t="s">
        <v>1834</v>
      </c>
      <c r="R530" s="23" t="s">
        <v>1835</v>
      </c>
      <c r="S530" s="24">
        <v>30</v>
      </c>
      <c r="Z530" s="83" t="s">
        <v>62</v>
      </c>
      <c r="AA530" s="6">
        <v>6</v>
      </c>
      <c r="AB530" s="6">
        <v>1</v>
      </c>
      <c r="AC530" s="5">
        <v>24.5</v>
      </c>
      <c r="AD530" s="5" t="s">
        <v>79</v>
      </c>
      <c r="AE530" s="5" t="s">
        <v>115</v>
      </c>
      <c r="AF530" s="5">
        <v>1.6</v>
      </c>
      <c r="AG530" s="5" t="s">
        <v>79</v>
      </c>
      <c r="AH530" s="5" t="s">
        <v>1836</v>
      </c>
      <c r="AK530" s="6">
        <v>64</v>
      </c>
      <c r="AL530" s="6" t="s">
        <v>80</v>
      </c>
      <c r="AM530" s="6" t="s">
        <v>115</v>
      </c>
      <c r="AN530" s="6">
        <v>7.2</v>
      </c>
      <c r="AO530" s="6" t="s">
        <v>80</v>
      </c>
      <c r="AP530" s="6" t="s">
        <v>1836</v>
      </c>
      <c r="BQ530" s="6" t="s">
        <v>183</v>
      </c>
      <c r="BR530" s="5" t="s">
        <v>1837</v>
      </c>
    </row>
    <row r="531" spans="1:70" ht="14.25" x14ac:dyDescent="0.2">
      <c r="A531" s="203">
        <v>598</v>
      </c>
      <c r="B531" s="229" t="s">
        <v>1529</v>
      </c>
      <c r="C531" s="263" t="s">
        <v>1530</v>
      </c>
      <c r="D531" s="229" t="s">
        <v>1532</v>
      </c>
      <c r="E531" s="123" t="s">
        <v>355</v>
      </c>
      <c r="F531" s="179" t="s">
        <v>54</v>
      </c>
      <c r="G531" s="179" t="s">
        <v>55</v>
      </c>
      <c r="H531" s="179" t="s">
        <v>65</v>
      </c>
      <c r="J531" s="22">
        <v>500</v>
      </c>
      <c r="L531" s="28" t="s">
        <v>57</v>
      </c>
      <c r="M531" s="22" t="s">
        <v>77</v>
      </c>
      <c r="N531" s="22">
        <v>0</v>
      </c>
      <c r="O531" s="22" t="s">
        <v>59</v>
      </c>
      <c r="P531" s="22" t="s">
        <v>78</v>
      </c>
      <c r="Q531" s="23" t="s">
        <v>1834</v>
      </c>
      <c r="R531" s="23" t="s">
        <v>1835</v>
      </c>
      <c r="S531" s="24">
        <v>30</v>
      </c>
      <c r="Z531" s="83" t="s">
        <v>62</v>
      </c>
      <c r="AA531" s="6">
        <v>6</v>
      </c>
      <c r="AB531" s="6">
        <v>1</v>
      </c>
      <c r="AC531" s="5">
        <v>24.5</v>
      </c>
      <c r="AD531" s="5" t="s">
        <v>79</v>
      </c>
      <c r="AE531" s="5" t="s">
        <v>115</v>
      </c>
      <c r="AF531" s="5">
        <v>1.6</v>
      </c>
      <c r="AG531" s="5" t="s">
        <v>79</v>
      </c>
      <c r="AH531" s="5" t="s">
        <v>1836</v>
      </c>
      <c r="AK531" s="6">
        <v>64</v>
      </c>
      <c r="AL531" s="6" t="s">
        <v>80</v>
      </c>
      <c r="AM531" s="6" t="s">
        <v>115</v>
      </c>
      <c r="AN531" s="6">
        <v>7.2</v>
      </c>
      <c r="AO531" s="6" t="s">
        <v>80</v>
      </c>
      <c r="AP531" s="6" t="s">
        <v>1836</v>
      </c>
      <c r="BQ531" s="6" t="s">
        <v>183</v>
      </c>
      <c r="BR531" s="5" t="s">
        <v>1837</v>
      </c>
    </row>
    <row r="532" spans="1:70" ht="14.25" x14ac:dyDescent="0.2">
      <c r="A532" s="203">
        <v>599</v>
      </c>
      <c r="B532" s="229" t="s">
        <v>1533</v>
      </c>
      <c r="C532" s="263" t="s">
        <v>1534</v>
      </c>
      <c r="D532" s="229" t="s">
        <v>1535</v>
      </c>
      <c r="E532" s="123" t="s">
        <v>355</v>
      </c>
      <c r="F532" s="179" t="s">
        <v>102</v>
      </c>
      <c r="G532" s="179" t="s">
        <v>55</v>
      </c>
      <c r="H532" s="179" t="s">
        <v>56</v>
      </c>
      <c r="J532" s="22">
        <v>250</v>
      </c>
      <c r="L532" s="28" t="s">
        <v>57</v>
      </c>
      <c r="M532" s="22" t="s">
        <v>58</v>
      </c>
      <c r="N532" s="22">
        <v>0</v>
      </c>
      <c r="O532" s="22" t="s">
        <v>59</v>
      </c>
      <c r="P532" s="22" t="s">
        <v>78</v>
      </c>
      <c r="Q532" s="23" t="s">
        <v>1838</v>
      </c>
      <c r="R532" s="23" t="s">
        <v>1839</v>
      </c>
      <c r="T532" s="23">
        <v>100</v>
      </c>
      <c r="V532" s="25" t="s">
        <v>613</v>
      </c>
      <c r="W532" s="65" t="s">
        <v>653</v>
      </c>
      <c r="X532" s="106" t="s">
        <v>202</v>
      </c>
      <c r="Y532" s="25" t="s">
        <v>1840</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1831</v>
      </c>
    </row>
    <row r="533" spans="1:70" ht="14.25" x14ac:dyDescent="0.2">
      <c r="A533" s="203">
        <v>600</v>
      </c>
      <c r="B533" s="229" t="s">
        <v>1533</v>
      </c>
      <c r="C533" s="263" t="s">
        <v>1534</v>
      </c>
      <c r="D533" s="229" t="s">
        <v>1536</v>
      </c>
      <c r="E533" s="123" t="s">
        <v>355</v>
      </c>
      <c r="F533" s="179" t="s">
        <v>102</v>
      </c>
      <c r="G533" s="179" t="s">
        <v>55</v>
      </c>
      <c r="H533" s="26" t="s">
        <v>65</v>
      </c>
      <c r="J533" s="22">
        <v>250</v>
      </c>
      <c r="L533" s="28" t="s">
        <v>57</v>
      </c>
      <c r="M533" s="22" t="s">
        <v>58</v>
      </c>
      <c r="N533" s="22" t="s">
        <v>1841</v>
      </c>
      <c r="O533" s="22" t="s">
        <v>59</v>
      </c>
      <c r="P533" s="22" t="s">
        <v>1842</v>
      </c>
      <c r="Q533" s="23" t="s">
        <v>1838</v>
      </c>
      <c r="R533" s="23" t="s">
        <v>1839</v>
      </c>
      <c r="T533" s="23" t="s">
        <v>1843</v>
      </c>
      <c r="V533" s="25" t="s">
        <v>613</v>
      </c>
      <c r="W533" s="65" t="s">
        <v>1844</v>
      </c>
      <c r="X533" s="106" t="s">
        <v>1845</v>
      </c>
      <c r="Y533" s="25" t="s">
        <v>1846</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1831</v>
      </c>
    </row>
    <row r="534" spans="1:70" ht="14.25" x14ac:dyDescent="0.2">
      <c r="A534" s="203">
        <v>601</v>
      </c>
      <c r="B534" s="229" t="s">
        <v>1539</v>
      </c>
      <c r="C534" s="263" t="s">
        <v>1540</v>
      </c>
      <c r="D534" s="229" t="s">
        <v>1537</v>
      </c>
      <c r="E534" s="123" t="s">
        <v>355</v>
      </c>
      <c r="F534" s="179" t="s">
        <v>54</v>
      </c>
      <c r="G534" s="179" t="s">
        <v>55</v>
      </c>
      <c r="H534" s="179" t="s">
        <v>56</v>
      </c>
      <c r="J534" s="22">
        <v>500</v>
      </c>
      <c r="L534" s="28" t="s">
        <v>57</v>
      </c>
      <c r="M534" s="22" t="s">
        <v>58</v>
      </c>
      <c r="N534" s="22">
        <v>0</v>
      </c>
      <c r="O534" s="22" t="s">
        <v>59</v>
      </c>
      <c r="P534" s="22" t="s">
        <v>1847</v>
      </c>
      <c r="Q534" s="23" t="s">
        <v>1848</v>
      </c>
      <c r="R534" s="23" t="s">
        <v>1849</v>
      </c>
      <c r="V534" s="25" t="s">
        <v>613</v>
      </c>
      <c r="W534" s="65" t="s">
        <v>1850</v>
      </c>
      <c r="X534" s="106" t="s">
        <v>333</v>
      </c>
      <c r="Y534" s="25" t="s">
        <v>1851</v>
      </c>
      <c r="Z534" s="83" t="s">
        <v>62</v>
      </c>
      <c r="AA534" s="6">
        <v>21</v>
      </c>
      <c r="BQ534" s="6" t="s">
        <v>213</v>
      </c>
    </row>
    <row r="535" spans="1:70" ht="14.25" customHeight="1" x14ac:dyDescent="0.2">
      <c r="A535" s="203">
        <v>602</v>
      </c>
      <c r="B535" s="229" t="s">
        <v>1539</v>
      </c>
      <c r="C535" s="263" t="s">
        <v>1540</v>
      </c>
      <c r="D535" s="229" t="s">
        <v>1538</v>
      </c>
      <c r="E535" s="123" t="s">
        <v>355</v>
      </c>
      <c r="F535" s="179" t="s">
        <v>54</v>
      </c>
      <c r="G535" s="179" t="s">
        <v>55</v>
      </c>
      <c r="H535" s="26" t="s">
        <v>65</v>
      </c>
      <c r="J535" s="22">
        <v>500</v>
      </c>
      <c r="L535" s="28" t="s">
        <v>57</v>
      </c>
      <c r="M535" s="22" t="s">
        <v>58</v>
      </c>
      <c r="N535" s="22">
        <v>0</v>
      </c>
      <c r="O535" s="22" t="s">
        <v>59</v>
      </c>
      <c r="P535" s="22" t="s">
        <v>1847</v>
      </c>
      <c r="Q535" s="23" t="s">
        <v>1848</v>
      </c>
      <c r="R535" s="23" t="s">
        <v>1849</v>
      </c>
      <c r="V535" s="25" t="s">
        <v>613</v>
      </c>
      <c r="W535" s="65">
        <v>2</v>
      </c>
      <c r="X535" s="106" t="s">
        <v>333</v>
      </c>
      <c r="Y535" s="25" t="s">
        <v>1851</v>
      </c>
      <c r="Z535" s="83" t="s">
        <v>62</v>
      </c>
      <c r="AA535" s="6">
        <v>12</v>
      </c>
      <c r="BQ535" s="6" t="s">
        <v>213</v>
      </c>
    </row>
    <row r="536" spans="1:70" ht="14.25" customHeight="1" x14ac:dyDescent="0.2">
      <c r="A536" s="203">
        <v>603</v>
      </c>
      <c r="B536" s="229" t="s">
        <v>1541</v>
      </c>
      <c r="C536" s="263" t="s">
        <v>1542</v>
      </c>
      <c r="D536" s="229" t="s">
        <v>1544</v>
      </c>
      <c r="E536" s="3" t="s">
        <v>355</v>
      </c>
      <c r="F536" s="179" t="s">
        <v>102</v>
      </c>
      <c r="G536" s="179" t="s">
        <v>55</v>
      </c>
      <c r="H536" s="26" t="s">
        <v>1543</v>
      </c>
      <c r="J536" s="22">
        <v>1000</v>
      </c>
      <c r="L536" s="28" t="s">
        <v>57</v>
      </c>
      <c r="M536" s="22" t="s">
        <v>77</v>
      </c>
      <c r="N536" s="22">
        <v>0</v>
      </c>
      <c r="O536" s="22" t="s">
        <v>59</v>
      </c>
      <c r="P536" s="22" t="s">
        <v>78</v>
      </c>
      <c r="Q536" s="23" t="s">
        <v>1827</v>
      </c>
      <c r="R536" s="23" t="s">
        <v>1852</v>
      </c>
      <c r="S536" s="24">
        <v>60</v>
      </c>
      <c r="U536" s="23" t="s">
        <v>1853</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1854</v>
      </c>
    </row>
    <row r="537" spans="1:70" ht="14.25" customHeight="1" x14ac:dyDescent="0.2">
      <c r="A537" s="203">
        <v>604</v>
      </c>
      <c r="B537" s="229" t="s">
        <v>1545</v>
      </c>
      <c r="C537" s="263" t="s">
        <v>1546</v>
      </c>
      <c r="D537" s="229" t="s">
        <v>1547</v>
      </c>
      <c r="E537" s="3" t="s">
        <v>355</v>
      </c>
      <c r="F537" s="179" t="s">
        <v>54</v>
      </c>
      <c r="G537" s="179" t="s">
        <v>55</v>
      </c>
      <c r="H537" s="26" t="s">
        <v>156</v>
      </c>
      <c r="J537" s="22">
        <v>500</v>
      </c>
      <c r="L537" s="28" t="s">
        <v>57</v>
      </c>
      <c r="M537" s="22" t="s">
        <v>58</v>
      </c>
      <c r="N537" s="22" t="s">
        <v>1855</v>
      </c>
      <c r="O537" s="22" t="s">
        <v>59</v>
      </c>
      <c r="P537" s="22" t="s">
        <v>1856</v>
      </c>
      <c r="Q537" s="23" t="s">
        <v>1857</v>
      </c>
      <c r="R537" s="23" t="s">
        <v>1858</v>
      </c>
      <c r="Z537" s="83" t="s">
        <v>62</v>
      </c>
      <c r="AA537" s="6">
        <v>6</v>
      </c>
      <c r="AB537" s="6">
        <v>4</v>
      </c>
      <c r="AD537" s="5" t="s">
        <v>79</v>
      </c>
      <c r="AI537" s="5">
        <v>20</v>
      </c>
      <c r="AJ537" s="5">
        <v>32</v>
      </c>
      <c r="AL537" s="6" t="s">
        <v>80</v>
      </c>
      <c r="AQ537" s="6">
        <v>52</v>
      </c>
      <c r="AR537" s="6">
        <v>75</v>
      </c>
      <c r="BQ537" s="6" t="s">
        <v>1859</v>
      </c>
      <c r="BR537" s="5" t="s">
        <v>1860</v>
      </c>
    </row>
    <row r="538" spans="1:70" ht="14.25" customHeight="1" x14ac:dyDescent="0.2">
      <c r="A538" s="203">
        <v>605</v>
      </c>
      <c r="B538" s="229" t="s">
        <v>1548</v>
      </c>
      <c r="C538" s="263" t="s">
        <v>1549</v>
      </c>
      <c r="D538" s="229" t="s">
        <v>1550</v>
      </c>
      <c r="E538" s="3" t="s">
        <v>355</v>
      </c>
      <c r="F538" s="179" t="s">
        <v>54</v>
      </c>
      <c r="G538" s="179" t="s">
        <v>55</v>
      </c>
      <c r="H538" s="26" t="s">
        <v>56</v>
      </c>
      <c r="J538" s="22">
        <v>250</v>
      </c>
      <c r="L538" s="28" t="s">
        <v>57</v>
      </c>
      <c r="M538" s="22" t="s">
        <v>58</v>
      </c>
      <c r="N538" s="22">
        <v>0</v>
      </c>
      <c r="O538" s="22" t="s">
        <v>59</v>
      </c>
      <c r="P538" s="22" t="s">
        <v>78</v>
      </c>
      <c r="Q538" s="23" t="s">
        <v>1861</v>
      </c>
      <c r="R538" s="23" t="s">
        <v>1862</v>
      </c>
      <c r="T538" s="23">
        <v>200</v>
      </c>
      <c r="V538" s="25" t="s">
        <v>613</v>
      </c>
      <c r="W538" s="65" t="s">
        <v>1863</v>
      </c>
      <c r="X538" s="106" t="s">
        <v>1864</v>
      </c>
      <c r="Y538" s="25" t="s">
        <v>1865</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1866</v>
      </c>
      <c r="BR538" s="5" t="s">
        <v>1867</v>
      </c>
    </row>
    <row r="539" spans="1:70" ht="14.25" customHeight="1" x14ac:dyDescent="0.2">
      <c r="A539" s="203">
        <v>606</v>
      </c>
      <c r="B539" s="229" t="s">
        <v>1548</v>
      </c>
      <c r="C539" s="263" t="s">
        <v>1549</v>
      </c>
      <c r="D539" s="229" t="s">
        <v>1551</v>
      </c>
      <c r="E539" s="3" t="s">
        <v>355</v>
      </c>
      <c r="F539" s="26" t="s">
        <v>54</v>
      </c>
      <c r="G539" s="26" t="s">
        <v>55</v>
      </c>
      <c r="H539" s="26" t="s">
        <v>56</v>
      </c>
      <c r="J539" s="22">
        <v>500</v>
      </c>
      <c r="L539" s="28" t="s">
        <v>57</v>
      </c>
      <c r="M539" s="22" t="s">
        <v>58</v>
      </c>
      <c r="N539" s="22">
        <v>0</v>
      </c>
      <c r="O539" s="22" t="s">
        <v>59</v>
      </c>
      <c r="P539" s="22" t="s">
        <v>78</v>
      </c>
      <c r="Q539" s="23" t="s">
        <v>1861</v>
      </c>
      <c r="R539" s="23" t="s">
        <v>1862</v>
      </c>
      <c r="T539" s="23">
        <v>200</v>
      </c>
      <c r="V539" s="25" t="s">
        <v>613</v>
      </c>
      <c r="W539" s="65" t="s">
        <v>1863</v>
      </c>
      <c r="X539" s="106" t="s">
        <v>1864</v>
      </c>
      <c r="Y539" s="25" t="s">
        <v>1865</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1866</v>
      </c>
      <c r="BR539" s="5" t="s">
        <v>1867</v>
      </c>
    </row>
    <row r="540" spans="1:70" ht="14.25" customHeight="1" x14ac:dyDescent="0.2">
      <c r="A540" s="203">
        <v>607</v>
      </c>
      <c r="B540" s="229" t="s">
        <v>1548</v>
      </c>
      <c r="C540" s="263" t="s">
        <v>1549</v>
      </c>
      <c r="D540" s="229" t="s">
        <v>1552</v>
      </c>
      <c r="E540" s="3" t="s">
        <v>355</v>
      </c>
      <c r="F540" s="26" t="s">
        <v>54</v>
      </c>
      <c r="G540" s="26" t="s">
        <v>55</v>
      </c>
      <c r="H540" s="26" t="s">
        <v>56</v>
      </c>
      <c r="J540" s="22">
        <v>1000</v>
      </c>
      <c r="L540" s="28" t="s">
        <v>57</v>
      </c>
      <c r="M540" s="22" t="s">
        <v>58</v>
      </c>
      <c r="N540" s="22">
        <v>0</v>
      </c>
      <c r="O540" s="22" t="s">
        <v>59</v>
      </c>
      <c r="P540" s="22" t="s">
        <v>78</v>
      </c>
      <c r="Q540" s="23" t="s">
        <v>1861</v>
      </c>
      <c r="R540" s="23" t="s">
        <v>1862</v>
      </c>
      <c r="T540" s="23">
        <v>200</v>
      </c>
      <c r="V540" s="25" t="s">
        <v>613</v>
      </c>
      <c r="W540" s="65" t="s">
        <v>1863</v>
      </c>
      <c r="X540" s="106" t="s">
        <v>1864</v>
      </c>
      <c r="Y540" s="25" t="s">
        <v>1865</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1866</v>
      </c>
      <c r="BR540" s="5" t="s">
        <v>1867</v>
      </c>
    </row>
    <row r="541" spans="1:70" ht="14.25" x14ac:dyDescent="0.2">
      <c r="A541" s="203">
        <v>608</v>
      </c>
      <c r="B541" s="229" t="s">
        <v>1548</v>
      </c>
      <c r="C541" s="263" t="s">
        <v>1549</v>
      </c>
      <c r="D541" s="229" t="s">
        <v>1553</v>
      </c>
      <c r="E541" s="3" t="s">
        <v>355</v>
      </c>
      <c r="F541" s="26" t="s">
        <v>54</v>
      </c>
      <c r="G541" s="179" t="s">
        <v>55</v>
      </c>
      <c r="H541" s="26" t="s">
        <v>56</v>
      </c>
      <c r="J541" s="22">
        <v>500</v>
      </c>
      <c r="L541" s="28" t="s">
        <v>57</v>
      </c>
      <c r="M541" s="22" t="s">
        <v>58</v>
      </c>
      <c r="N541" s="22">
        <v>0</v>
      </c>
      <c r="O541" s="22" t="s">
        <v>59</v>
      </c>
      <c r="P541" s="22" t="s">
        <v>78</v>
      </c>
      <c r="Q541" s="23" t="s">
        <v>1868</v>
      </c>
      <c r="R541" s="23" t="s">
        <v>1869</v>
      </c>
      <c r="T541" s="23">
        <v>200</v>
      </c>
      <c r="V541" s="25" t="s">
        <v>613</v>
      </c>
      <c r="W541" s="65" t="s">
        <v>1863</v>
      </c>
      <c r="X541" s="106" t="s">
        <v>1864</v>
      </c>
      <c r="Y541" s="25" t="s">
        <v>1865</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1866</v>
      </c>
      <c r="BR541" s="5" t="s">
        <v>1867</v>
      </c>
    </row>
    <row r="542" spans="1:70" ht="14.25" x14ac:dyDescent="0.2">
      <c r="A542" s="203">
        <v>609</v>
      </c>
      <c r="B542" s="229" t="s">
        <v>1554</v>
      </c>
      <c r="C542" s="263" t="s">
        <v>1555</v>
      </c>
      <c r="D542" s="229" t="s">
        <v>1556</v>
      </c>
      <c r="E542" s="3" t="s">
        <v>355</v>
      </c>
      <c r="F542" s="26" t="s">
        <v>54</v>
      </c>
      <c r="G542" s="179" t="s">
        <v>55</v>
      </c>
      <c r="H542" s="179" t="s">
        <v>65</v>
      </c>
      <c r="J542" s="22">
        <v>500</v>
      </c>
      <c r="L542" s="28" t="s">
        <v>57</v>
      </c>
      <c r="M542" s="22" t="s">
        <v>58</v>
      </c>
      <c r="N542" s="22">
        <v>0</v>
      </c>
      <c r="O542" s="22" t="s">
        <v>59</v>
      </c>
      <c r="P542" s="22" t="s">
        <v>78</v>
      </c>
      <c r="Q542" s="23" t="s">
        <v>1857</v>
      </c>
      <c r="R542" s="23" t="s">
        <v>1870</v>
      </c>
      <c r="T542" s="23">
        <v>300</v>
      </c>
      <c r="V542" s="25" t="s">
        <v>613</v>
      </c>
      <c r="W542" s="65" t="s">
        <v>1871</v>
      </c>
      <c r="X542" s="106" t="s">
        <v>202</v>
      </c>
      <c r="Y542" s="25" t="s">
        <v>1872</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1859</v>
      </c>
      <c r="BR542" s="5" t="s">
        <v>1873</v>
      </c>
    </row>
    <row r="543" spans="1:70" ht="14.25" x14ac:dyDescent="0.2">
      <c r="A543" s="203">
        <v>610</v>
      </c>
      <c r="B543" s="229" t="s">
        <v>1557</v>
      </c>
      <c r="C543" s="263" t="s">
        <v>1558</v>
      </c>
      <c r="D543" s="229" t="s">
        <v>1517</v>
      </c>
      <c r="E543" s="123" t="s">
        <v>355</v>
      </c>
      <c r="F543" s="179" t="s">
        <v>54</v>
      </c>
      <c r="G543" s="179" t="s">
        <v>55</v>
      </c>
      <c r="H543" s="179" t="s">
        <v>56</v>
      </c>
      <c r="J543" s="22">
        <v>500</v>
      </c>
      <c r="K543" s="180"/>
      <c r="L543" s="180" t="s">
        <v>57</v>
      </c>
      <c r="M543" s="22" t="s">
        <v>58</v>
      </c>
      <c r="N543" s="22">
        <v>0</v>
      </c>
      <c r="O543" s="176" t="s">
        <v>59</v>
      </c>
      <c r="P543" s="22" t="s">
        <v>1874</v>
      </c>
      <c r="Q543" s="177" t="s">
        <v>357</v>
      </c>
      <c r="R543" s="23" t="s">
        <v>1875</v>
      </c>
      <c r="T543" s="177" t="s">
        <v>1876</v>
      </c>
      <c r="U543" s="177"/>
      <c r="V543" s="25" t="s">
        <v>613</v>
      </c>
      <c r="W543" s="65">
        <v>12</v>
      </c>
      <c r="X543" s="106" t="s">
        <v>202</v>
      </c>
      <c r="Y543" s="25" t="s">
        <v>1877</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1559</v>
      </c>
      <c r="C544" s="263" t="s">
        <v>1560</v>
      </c>
      <c r="D544" s="229" t="s">
        <v>1561</v>
      </c>
      <c r="E544" s="123" t="s">
        <v>355</v>
      </c>
      <c r="F544" s="179" t="s">
        <v>102</v>
      </c>
      <c r="G544" s="179" t="s">
        <v>55</v>
      </c>
      <c r="H544" s="179" t="s">
        <v>56</v>
      </c>
      <c r="J544" s="22">
        <v>500</v>
      </c>
      <c r="K544" s="180"/>
      <c r="L544" s="180" t="s">
        <v>57</v>
      </c>
      <c r="M544" s="22" t="s">
        <v>58</v>
      </c>
      <c r="N544" s="22">
        <v>0</v>
      </c>
      <c r="O544" s="176" t="s">
        <v>59</v>
      </c>
      <c r="P544" s="22" t="s">
        <v>1878</v>
      </c>
      <c r="Q544" s="177" t="s">
        <v>1857</v>
      </c>
      <c r="R544" s="23" t="s">
        <v>1879</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1866</v>
      </c>
      <c r="BR544" s="5" t="s">
        <v>1880</v>
      </c>
    </row>
    <row r="545" spans="1:70" ht="14.25" customHeight="1" x14ac:dyDescent="0.2">
      <c r="A545" s="203">
        <v>612</v>
      </c>
      <c r="B545" s="229" t="s">
        <v>1559</v>
      </c>
      <c r="C545" s="263" t="s">
        <v>1560</v>
      </c>
      <c r="D545" s="229" t="s">
        <v>1562</v>
      </c>
      <c r="E545" s="123" t="s">
        <v>355</v>
      </c>
      <c r="F545" s="179" t="s">
        <v>102</v>
      </c>
      <c r="G545" s="179" t="s">
        <v>55</v>
      </c>
      <c r="H545" s="179" t="s">
        <v>56</v>
      </c>
      <c r="J545" s="22">
        <v>500</v>
      </c>
      <c r="K545" s="180"/>
      <c r="L545" s="180" t="s">
        <v>57</v>
      </c>
      <c r="M545" s="22" t="s">
        <v>58</v>
      </c>
      <c r="N545" s="22">
        <v>0</v>
      </c>
      <c r="O545" s="176" t="s">
        <v>59</v>
      </c>
      <c r="P545" s="22" t="s">
        <v>1878</v>
      </c>
      <c r="Q545" s="177" t="s">
        <v>1857</v>
      </c>
      <c r="R545" s="23" t="s">
        <v>1879</v>
      </c>
      <c r="T545" s="177"/>
      <c r="U545" s="177"/>
      <c r="V545" s="25" t="s">
        <v>613</v>
      </c>
      <c r="W545" s="65" t="s">
        <v>653</v>
      </c>
      <c r="X545" s="106" t="s">
        <v>1615</v>
      </c>
      <c r="Y545" s="25" t="s">
        <v>1881</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1866</v>
      </c>
      <c r="BR545" s="5" t="s">
        <v>1880</v>
      </c>
    </row>
    <row r="546" spans="1:70" ht="14.25" customHeight="1" x14ac:dyDescent="0.2">
      <c r="A546" s="203">
        <v>613</v>
      </c>
      <c r="B546" s="229" t="s">
        <v>1559</v>
      </c>
      <c r="C546" s="263" t="s">
        <v>1560</v>
      </c>
      <c r="D546" s="229" t="s">
        <v>1563</v>
      </c>
      <c r="E546" s="123" t="s">
        <v>355</v>
      </c>
      <c r="F546" s="179" t="s">
        <v>102</v>
      </c>
      <c r="G546" s="26" t="s">
        <v>55</v>
      </c>
      <c r="H546" s="26" t="s">
        <v>56</v>
      </c>
      <c r="J546" s="22">
        <v>500</v>
      </c>
      <c r="K546" s="180"/>
      <c r="L546" s="180" t="s">
        <v>57</v>
      </c>
      <c r="M546" s="22" t="s">
        <v>58</v>
      </c>
      <c r="N546" s="22" t="s">
        <v>1882</v>
      </c>
      <c r="O546" s="176" t="s">
        <v>59</v>
      </c>
      <c r="P546" s="22" t="s">
        <v>1883</v>
      </c>
      <c r="Q546" s="177" t="s">
        <v>1857</v>
      </c>
      <c r="R546" s="23" t="s">
        <v>1879</v>
      </c>
      <c r="T546" s="177"/>
      <c r="U546" s="177" t="s">
        <v>1884</v>
      </c>
      <c r="V546" s="25" t="s">
        <v>613</v>
      </c>
      <c r="W546" s="65" t="s">
        <v>1885</v>
      </c>
      <c r="X546" s="106" t="s">
        <v>1615</v>
      </c>
      <c r="Y546" s="25" t="s">
        <v>1886</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1866</v>
      </c>
      <c r="BR546" s="5" t="s">
        <v>1880</v>
      </c>
    </row>
    <row r="547" spans="1:70" ht="14.25" customHeight="1" x14ac:dyDescent="0.2">
      <c r="A547" s="203">
        <v>614</v>
      </c>
      <c r="B547" s="229" t="s">
        <v>1567</v>
      </c>
      <c r="C547" s="263" t="s">
        <v>1566</v>
      </c>
      <c r="D547" s="229" t="s">
        <v>1564</v>
      </c>
      <c r="E547" s="3" t="s">
        <v>355</v>
      </c>
      <c r="F547" s="26" t="s">
        <v>54</v>
      </c>
      <c r="G547" s="26" t="s">
        <v>55</v>
      </c>
      <c r="H547" s="179" t="s">
        <v>406</v>
      </c>
      <c r="J547" s="22">
        <v>1</v>
      </c>
      <c r="L547" s="28" t="s">
        <v>1887</v>
      </c>
      <c r="M547" s="22" t="s">
        <v>58</v>
      </c>
      <c r="N547" s="22">
        <v>0</v>
      </c>
      <c r="O547" s="22" t="s">
        <v>59</v>
      </c>
      <c r="P547" s="22" t="s">
        <v>78</v>
      </c>
      <c r="Q547" s="23" t="s">
        <v>1888</v>
      </c>
      <c r="R547" s="23" t="s">
        <v>1889</v>
      </c>
      <c r="U547" s="23" t="s">
        <v>1890</v>
      </c>
      <c r="V547" s="25" t="s">
        <v>613</v>
      </c>
      <c r="W547" s="65" t="s">
        <v>653</v>
      </c>
      <c r="Z547" s="83" t="s">
        <v>62</v>
      </c>
      <c r="AA547" s="6">
        <v>8</v>
      </c>
      <c r="AB547" s="6">
        <v>4</v>
      </c>
      <c r="AD547" s="5" t="s">
        <v>79</v>
      </c>
      <c r="AI547" s="5">
        <v>26</v>
      </c>
      <c r="AJ547" s="5">
        <v>34</v>
      </c>
      <c r="AL547" s="6" t="s">
        <v>80</v>
      </c>
      <c r="AQ547" s="6">
        <v>56</v>
      </c>
      <c r="AR547" s="6">
        <v>77</v>
      </c>
      <c r="BQ547" s="6" t="s">
        <v>581</v>
      </c>
      <c r="BR547" s="5" t="s">
        <v>1891</v>
      </c>
    </row>
    <row r="548" spans="1:70" ht="14.25" customHeight="1" x14ac:dyDescent="0.2">
      <c r="A548" s="203">
        <v>615</v>
      </c>
      <c r="B548" s="229" t="s">
        <v>1567</v>
      </c>
      <c r="C548" s="263" t="s">
        <v>1566</v>
      </c>
      <c r="D548" s="229" t="s">
        <v>1565</v>
      </c>
      <c r="E548" s="3" t="s">
        <v>355</v>
      </c>
      <c r="F548" s="26" t="s">
        <v>54</v>
      </c>
      <c r="G548" s="26" t="s">
        <v>55</v>
      </c>
      <c r="H548" s="179" t="s">
        <v>491</v>
      </c>
      <c r="J548" s="22">
        <v>1</v>
      </c>
      <c r="L548" s="28" t="s">
        <v>1887</v>
      </c>
      <c r="M548" s="22" t="s">
        <v>58</v>
      </c>
      <c r="N548" s="22" t="s">
        <v>1892</v>
      </c>
      <c r="O548" s="22" t="s">
        <v>59</v>
      </c>
      <c r="P548" s="22" t="s">
        <v>1893</v>
      </c>
      <c r="Q548" s="23" t="s">
        <v>1888</v>
      </c>
      <c r="R548" s="23" t="s">
        <v>1889</v>
      </c>
      <c r="U548" s="23" t="s">
        <v>1890</v>
      </c>
      <c r="V548" s="25" t="s">
        <v>613</v>
      </c>
      <c r="W548" s="65" t="s">
        <v>653</v>
      </c>
      <c r="Z548" s="83" t="s">
        <v>62</v>
      </c>
      <c r="AA548" s="6">
        <v>8</v>
      </c>
      <c r="AB548" s="6">
        <v>4</v>
      </c>
      <c r="AD548" s="5" t="s">
        <v>79</v>
      </c>
      <c r="AI548" s="5">
        <v>26</v>
      </c>
      <c r="AJ548" s="5">
        <v>34</v>
      </c>
      <c r="AL548" s="6" t="s">
        <v>80</v>
      </c>
      <c r="AQ548" s="6">
        <v>56</v>
      </c>
      <c r="AR548" s="6">
        <v>77</v>
      </c>
      <c r="BQ548" s="6" t="s">
        <v>581</v>
      </c>
      <c r="BR548" s="5" t="s">
        <v>1891</v>
      </c>
    </row>
    <row r="549" spans="1:70" ht="14.25" customHeight="1" x14ac:dyDescent="0.2">
      <c r="A549" s="203">
        <v>616</v>
      </c>
      <c r="B549" s="229" t="s">
        <v>1568</v>
      </c>
      <c r="C549" s="263" t="s">
        <v>1569</v>
      </c>
      <c r="D549" s="229" t="s">
        <v>1570</v>
      </c>
      <c r="E549" s="3" t="s">
        <v>355</v>
      </c>
      <c r="F549" s="26" t="s">
        <v>54</v>
      </c>
      <c r="G549" s="26" t="s">
        <v>55</v>
      </c>
      <c r="H549" s="179" t="s">
        <v>156</v>
      </c>
      <c r="J549" s="22">
        <v>300</v>
      </c>
      <c r="L549" s="28" t="s">
        <v>57</v>
      </c>
      <c r="M549" s="22" t="s">
        <v>77</v>
      </c>
      <c r="N549" s="22">
        <v>0</v>
      </c>
      <c r="O549" s="22" t="s">
        <v>59</v>
      </c>
      <c r="P549" s="22" t="s">
        <v>78</v>
      </c>
      <c r="Q549" s="23" t="s">
        <v>1827</v>
      </c>
      <c r="R549" s="23" t="s">
        <v>1894</v>
      </c>
      <c r="S549" s="24">
        <v>15</v>
      </c>
      <c r="U549" s="23" t="s">
        <v>1895</v>
      </c>
      <c r="Z549" s="83" t="s">
        <v>62</v>
      </c>
      <c r="AA549" s="6">
        <v>8</v>
      </c>
      <c r="AB549" s="6">
        <v>2</v>
      </c>
      <c r="AD549" s="5" t="s">
        <v>79</v>
      </c>
      <c r="AI549" s="5">
        <v>22</v>
      </c>
      <c r="AJ549" s="5">
        <v>33</v>
      </c>
      <c r="BQ549" s="6" t="s">
        <v>1859</v>
      </c>
      <c r="BR549" s="5" t="s">
        <v>1896</v>
      </c>
    </row>
    <row r="550" spans="1:70" ht="14.25" customHeight="1" x14ac:dyDescent="0.2">
      <c r="A550" s="203">
        <v>617</v>
      </c>
      <c r="B550" s="229" t="s">
        <v>1571</v>
      </c>
      <c r="C550" s="263" t="s">
        <v>1572</v>
      </c>
      <c r="D550" s="229" t="s">
        <v>1574</v>
      </c>
      <c r="E550" s="3" t="s">
        <v>355</v>
      </c>
      <c r="F550" s="26" t="s">
        <v>54</v>
      </c>
      <c r="G550" s="26" t="s">
        <v>55</v>
      </c>
      <c r="H550" s="26" t="s">
        <v>237</v>
      </c>
      <c r="J550" s="22">
        <v>500</v>
      </c>
      <c r="L550" s="28" t="s">
        <v>57</v>
      </c>
      <c r="M550" s="22" t="s">
        <v>58</v>
      </c>
      <c r="N550" s="22">
        <v>0</v>
      </c>
      <c r="O550" s="22" t="s">
        <v>59</v>
      </c>
      <c r="P550" s="22" t="s">
        <v>1897</v>
      </c>
      <c r="Q550" s="23" t="s">
        <v>1857</v>
      </c>
      <c r="R550" s="23" t="s">
        <v>1898</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1571</v>
      </c>
      <c r="C551" s="263" t="s">
        <v>1572</v>
      </c>
      <c r="D551" s="229" t="s">
        <v>1573</v>
      </c>
      <c r="E551" s="3" t="s">
        <v>355</v>
      </c>
      <c r="F551" s="26" t="s">
        <v>54</v>
      </c>
      <c r="G551" s="26" t="s">
        <v>55</v>
      </c>
      <c r="H551" s="179" t="s">
        <v>237</v>
      </c>
      <c r="J551" s="22">
        <v>500</v>
      </c>
      <c r="L551" s="28" t="s">
        <v>57</v>
      </c>
      <c r="M551" s="22" t="s">
        <v>58</v>
      </c>
      <c r="N551" s="22">
        <v>0</v>
      </c>
      <c r="O551" s="22" t="s">
        <v>59</v>
      </c>
      <c r="P551" s="22" t="s">
        <v>1897</v>
      </c>
      <c r="Q551" s="23" t="s">
        <v>357</v>
      </c>
      <c r="R551" s="23" t="s">
        <v>1899</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1571</v>
      </c>
      <c r="C552" s="263" t="s">
        <v>1572</v>
      </c>
      <c r="D552" s="229" t="s">
        <v>1575</v>
      </c>
      <c r="E552" s="3" t="s">
        <v>355</v>
      </c>
      <c r="F552" s="26" t="s">
        <v>54</v>
      </c>
      <c r="G552" s="26" t="s">
        <v>55</v>
      </c>
      <c r="H552" s="26" t="s">
        <v>56</v>
      </c>
      <c r="J552" s="22">
        <v>500</v>
      </c>
      <c r="L552" s="28" t="s">
        <v>57</v>
      </c>
      <c r="M552" s="22" t="s">
        <v>58</v>
      </c>
      <c r="N552" s="22">
        <v>0</v>
      </c>
      <c r="O552" s="22" t="s">
        <v>59</v>
      </c>
      <c r="P552" s="22" t="s">
        <v>1897</v>
      </c>
      <c r="Q552" s="23" t="s">
        <v>1857</v>
      </c>
      <c r="R552" s="23" t="s">
        <v>1900</v>
      </c>
      <c r="T552" s="23">
        <v>150</v>
      </c>
      <c r="V552" s="25" t="s">
        <v>613</v>
      </c>
      <c r="W552" s="65" t="s">
        <v>653</v>
      </c>
      <c r="X552" s="106" t="s">
        <v>1615</v>
      </c>
      <c r="Y552" s="25" t="s">
        <v>1901</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1571</v>
      </c>
      <c r="C553" s="263" t="s">
        <v>1572</v>
      </c>
      <c r="D553" s="229" t="s">
        <v>1576</v>
      </c>
      <c r="E553" s="3" t="s">
        <v>355</v>
      </c>
      <c r="F553" s="26" t="s">
        <v>54</v>
      </c>
      <c r="G553" s="26" t="s">
        <v>55</v>
      </c>
      <c r="H553" s="26" t="s">
        <v>56</v>
      </c>
      <c r="J553" s="22">
        <v>500</v>
      </c>
      <c r="L553" s="28" t="s">
        <v>57</v>
      </c>
      <c r="M553" s="22" t="s">
        <v>58</v>
      </c>
      <c r="N553" s="22">
        <v>0</v>
      </c>
      <c r="O553" s="22" t="s">
        <v>59</v>
      </c>
      <c r="P553" s="22" t="s">
        <v>1897</v>
      </c>
      <c r="Q553" s="23" t="s">
        <v>1857</v>
      </c>
      <c r="R553" s="23" t="s">
        <v>1902</v>
      </c>
      <c r="T553" s="23">
        <v>150</v>
      </c>
      <c r="V553" s="25" t="s">
        <v>613</v>
      </c>
      <c r="W553" s="65" t="s">
        <v>653</v>
      </c>
      <c r="X553" s="106" t="s">
        <v>1615</v>
      </c>
      <c r="Y553" s="25" t="s">
        <v>1901</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1577</v>
      </c>
      <c r="C554" s="263" t="s">
        <v>1578</v>
      </c>
      <c r="D554" s="229" t="s">
        <v>1579</v>
      </c>
      <c r="E554" s="3" t="s">
        <v>355</v>
      </c>
      <c r="F554" s="26" t="s">
        <v>54</v>
      </c>
      <c r="G554" s="26" t="s">
        <v>55</v>
      </c>
      <c r="H554" s="179" t="s">
        <v>56</v>
      </c>
      <c r="J554" s="22">
        <v>500</v>
      </c>
      <c r="L554" s="28" t="s">
        <v>57</v>
      </c>
      <c r="M554" s="22" t="s">
        <v>58</v>
      </c>
      <c r="N554" s="22">
        <v>0</v>
      </c>
      <c r="O554" s="22" t="s">
        <v>59</v>
      </c>
      <c r="P554" s="22" t="s">
        <v>1878</v>
      </c>
      <c r="Q554" s="23" t="s">
        <v>1857</v>
      </c>
      <c r="R554" s="23" t="s">
        <v>1903</v>
      </c>
      <c r="T554" s="23">
        <v>100</v>
      </c>
      <c r="U554" s="23" t="s">
        <v>1904</v>
      </c>
      <c r="V554" s="25" t="s">
        <v>613</v>
      </c>
      <c r="W554" s="65" t="s">
        <v>653</v>
      </c>
      <c r="X554" s="106" t="s">
        <v>1615</v>
      </c>
      <c r="Y554" s="25" t="s">
        <v>1905</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1906</v>
      </c>
      <c r="BR554" s="5" t="s">
        <v>2255</v>
      </c>
    </row>
    <row r="555" spans="1:70" ht="14.25" customHeight="1" x14ac:dyDescent="0.2">
      <c r="A555" s="203">
        <v>622</v>
      </c>
      <c r="B555" s="229" t="s">
        <v>1577</v>
      </c>
      <c r="C555" s="263" t="s">
        <v>1578</v>
      </c>
      <c r="D555" s="229" t="s">
        <v>1580</v>
      </c>
      <c r="E555" s="3" t="s">
        <v>355</v>
      </c>
      <c r="F555" s="26" t="s">
        <v>54</v>
      </c>
      <c r="G555" s="26" t="s">
        <v>55</v>
      </c>
      <c r="H555" s="179" t="s">
        <v>56</v>
      </c>
      <c r="J555" s="22">
        <v>500</v>
      </c>
      <c r="L555" s="28" t="s">
        <v>57</v>
      </c>
      <c r="M555" s="22" t="s">
        <v>58</v>
      </c>
      <c r="N555" s="22">
        <v>0</v>
      </c>
      <c r="O555" s="22" t="s">
        <v>59</v>
      </c>
      <c r="P555" s="22" t="s">
        <v>1907</v>
      </c>
      <c r="Q555" s="23" t="s">
        <v>1908</v>
      </c>
      <c r="R555" s="23" t="s">
        <v>1909</v>
      </c>
      <c r="T555" s="23">
        <v>100</v>
      </c>
      <c r="U555" s="23" t="s">
        <v>1910</v>
      </c>
      <c r="V555" s="25" t="s">
        <v>613</v>
      </c>
      <c r="W555" s="65" t="s">
        <v>653</v>
      </c>
      <c r="X555" s="106" t="s">
        <v>1615</v>
      </c>
      <c r="Y555" s="25" t="s">
        <v>1905</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1906</v>
      </c>
      <c r="BR555" s="5" t="s">
        <v>2255</v>
      </c>
    </row>
    <row r="556" spans="1:70" ht="14.25" customHeight="1" x14ac:dyDescent="0.2">
      <c r="A556" s="203">
        <v>623</v>
      </c>
      <c r="B556" s="229" t="s">
        <v>1577</v>
      </c>
      <c r="C556" s="263" t="s">
        <v>1578</v>
      </c>
      <c r="D556" s="229" t="s">
        <v>1581</v>
      </c>
      <c r="E556" s="3" t="s">
        <v>355</v>
      </c>
      <c r="F556" s="26" t="s">
        <v>54</v>
      </c>
      <c r="G556" s="26" t="s">
        <v>55</v>
      </c>
      <c r="H556" s="26" t="s">
        <v>156</v>
      </c>
      <c r="J556" s="22">
        <v>500</v>
      </c>
      <c r="L556" s="28" t="s">
        <v>57</v>
      </c>
      <c r="M556" s="22" t="s">
        <v>58</v>
      </c>
      <c r="N556" s="22">
        <v>0</v>
      </c>
      <c r="O556" s="22" t="s">
        <v>59</v>
      </c>
      <c r="P556" s="22" t="s">
        <v>1878</v>
      </c>
      <c r="Q556" s="23" t="s">
        <v>1857</v>
      </c>
      <c r="R556" s="23" t="s">
        <v>1911</v>
      </c>
      <c r="T556" s="23">
        <v>100</v>
      </c>
      <c r="V556" s="25" t="s">
        <v>613</v>
      </c>
      <c r="W556" s="65" t="s">
        <v>653</v>
      </c>
      <c r="X556" s="106" t="s">
        <v>1615</v>
      </c>
      <c r="Y556" s="25" t="s">
        <v>1905</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1906</v>
      </c>
      <c r="BR556" s="5" t="s">
        <v>2256</v>
      </c>
    </row>
    <row r="557" spans="1:70" ht="14.25" customHeight="1" x14ac:dyDescent="0.2">
      <c r="A557" s="203">
        <v>624</v>
      </c>
      <c r="B557" s="229" t="s">
        <v>1577</v>
      </c>
      <c r="C557" s="263" t="s">
        <v>1578</v>
      </c>
      <c r="D557" s="229" t="s">
        <v>1582</v>
      </c>
      <c r="E557" s="3" t="s">
        <v>355</v>
      </c>
      <c r="F557" s="179" t="s">
        <v>54</v>
      </c>
      <c r="G557" s="179" t="s">
        <v>55</v>
      </c>
      <c r="H557" s="26" t="s">
        <v>156</v>
      </c>
      <c r="J557" s="22">
        <v>500</v>
      </c>
      <c r="L557" s="28" t="s">
        <v>57</v>
      </c>
      <c r="M557" s="22" t="s">
        <v>58</v>
      </c>
      <c r="N557" s="22">
        <v>0</v>
      </c>
      <c r="O557" s="22" t="s">
        <v>59</v>
      </c>
      <c r="P557" s="22" t="s">
        <v>1907</v>
      </c>
      <c r="Q557" s="23" t="s">
        <v>1908</v>
      </c>
      <c r="R557" s="23" t="s">
        <v>1912</v>
      </c>
      <c r="T557" s="23">
        <v>100</v>
      </c>
      <c r="V557" s="25" t="s">
        <v>613</v>
      </c>
      <c r="W557" s="65" t="s">
        <v>653</v>
      </c>
      <c r="X557" s="106" t="s">
        <v>1615</v>
      </c>
      <c r="Y557" s="25" t="s">
        <v>1905</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1906</v>
      </c>
      <c r="BR557" s="5" t="s">
        <v>2256</v>
      </c>
    </row>
    <row r="558" spans="1:70" ht="14.25" x14ac:dyDescent="0.2">
      <c r="A558" s="203">
        <v>625</v>
      </c>
      <c r="B558" s="229" t="s">
        <v>1583</v>
      </c>
      <c r="C558" s="263" t="s">
        <v>1584</v>
      </c>
      <c r="D558" s="229" t="s">
        <v>1585</v>
      </c>
      <c r="E558" s="3" t="s">
        <v>355</v>
      </c>
      <c r="F558" s="179" t="s">
        <v>102</v>
      </c>
      <c r="G558" s="179" t="s">
        <v>55</v>
      </c>
      <c r="H558" s="179" t="s">
        <v>406</v>
      </c>
      <c r="J558" s="22">
        <v>125</v>
      </c>
      <c r="L558" s="28" t="s">
        <v>57</v>
      </c>
      <c r="M558" s="22" t="s">
        <v>77</v>
      </c>
      <c r="N558" s="22">
        <v>0</v>
      </c>
      <c r="O558" s="22" t="s">
        <v>59</v>
      </c>
      <c r="P558" s="22" t="s">
        <v>78</v>
      </c>
      <c r="Q558" s="23" t="s">
        <v>1160</v>
      </c>
      <c r="R558" s="23" t="s">
        <v>1913</v>
      </c>
      <c r="S558" s="24">
        <v>30</v>
      </c>
      <c r="V558" s="25" t="s">
        <v>613</v>
      </c>
      <c r="W558" s="65" t="s">
        <v>1914</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1915</v>
      </c>
    </row>
    <row r="559" spans="1:70" ht="14.25" customHeight="1" x14ac:dyDescent="0.2">
      <c r="A559" s="203">
        <v>626</v>
      </c>
      <c r="B559" s="229" t="s">
        <v>1586</v>
      </c>
      <c r="C559" s="263" t="s">
        <v>1587</v>
      </c>
      <c r="D559" s="229" t="s">
        <v>1588</v>
      </c>
      <c r="E559" s="123" t="s">
        <v>355</v>
      </c>
      <c r="F559" s="179" t="s">
        <v>54</v>
      </c>
      <c r="G559" s="179" t="s">
        <v>55</v>
      </c>
      <c r="H559" s="179" t="s">
        <v>420</v>
      </c>
      <c r="J559" s="22">
        <v>250</v>
      </c>
      <c r="K559" s="180"/>
      <c r="L559" s="180" t="s">
        <v>57</v>
      </c>
      <c r="M559" s="22" t="s">
        <v>58</v>
      </c>
      <c r="N559" s="22">
        <v>0</v>
      </c>
      <c r="O559" s="176" t="s">
        <v>59</v>
      </c>
      <c r="P559" s="22" t="s">
        <v>78</v>
      </c>
      <c r="Q559" s="177" t="s">
        <v>1857</v>
      </c>
      <c r="R559" s="23" t="s">
        <v>1916</v>
      </c>
      <c r="T559" s="177">
        <v>100</v>
      </c>
      <c r="U559" s="177"/>
      <c r="V559" s="165" t="s">
        <v>613</v>
      </c>
      <c r="W559" s="65" t="s">
        <v>1917</v>
      </c>
      <c r="X559" s="106" t="s">
        <v>202</v>
      </c>
      <c r="Z559" s="167" t="s">
        <v>62</v>
      </c>
      <c r="AA559" s="6">
        <v>8</v>
      </c>
      <c r="AB559" s="6">
        <v>0</v>
      </c>
      <c r="AD559" s="163" t="s">
        <v>79</v>
      </c>
      <c r="AI559" s="163">
        <v>21</v>
      </c>
      <c r="AJ559" s="163">
        <v>40</v>
      </c>
      <c r="BO559" s="163"/>
      <c r="BP559" s="163"/>
      <c r="BQ559" s="6" t="s">
        <v>213</v>
      </c>
      <c r="BR559" s="5" t="s">
        <v>1918</v>
      </c>
    </row>
    <row r="560" spans="1:70" ht="14.25" x14ac:dyDescent="0.2">
      <c r="A560" s="203">
        <v>627</v>
      </c>
      <c r="B560" s="229" t="s">
        <v>1586</v>
      </c>
      <c r="C560" s="263" t="s">
        <v>1587</v>
      </c>
      <c r="D560" s="229" t="s">
        <v>1589</v>
      </c>
      <c r="E560" s="123" t="s">
        <v>355</v>
      </c>
      <c r="F560" s="179" t="s">
        <v>54</v>
      </c>
      <c r="G560" s="179" t="s">
        <v>55</v>
      </c>
      <c r="H560" s="179" t="s">
        <v>421</v>
      </c>
      <c r="J560" s="22">
        <v>250</v>
      </c>
      <c r="K560" s="180"/>
      <c r="L560" s="180" t="s">
        <v>57</v>
      </c>
      <c r="M560" s="22" t="s">
        <v>58</v>
      </c>
      <c r="N560" s="22" t="s">
        <v>1919</v>
      </c>
      <c r="O560" s="176" t="s">
        <v>59</v>
      </c>
      <c r="P560" s="22" t="s">
        <v>1920</v>
      </c>
      <c r="Q560" s="177" t="s">
        <v>1857</v>
      </c>
      <c r="R560" s="23" t="s">
        <v>1916</v>
      </c>
      <c r="T560" s="177">
        <v>100</v>
      </c>
      <c r="U560" s="177"/>
      <c r="V560" s="165" t="s">
        <v>613</v>
      </c>
      <c r="W560" s="65" t="s">
        <v>1921</v>
      </c>
      <c r="X560" s="106" t="s">
        <v>333</v>
      </c>
      <c r="Y560" s="25" t="s">
        <v>1922</v>
      </c>
      <c r="Z560" s="167" t="s">
        <v>62</v>
      </c>
      <c r="AA560" s="6">
        <v>24</v>
      </c>
      <c r="AB560" s="6">
        <v>0</v>
      </c>
      <c r="AD560" s="163" t="s">
        <v>79</v>
      </c>
      <c r="AI560" s="163">
        <v>21</v>
      </c>
      <c r="AJ560" s="163">
        <v>40</v>
      </c>
      <c r="BO560" s="163"/>
      <c r="BP560" s="163"/>
      <c r="BQ560" s="6" t="s">
        <v>213</v>
      </c>
      <c r="BR560" s="5" t="s">
        <v>1918</v>
      </c>
    </row>
    <row r="561" spans="1:70" ht="14.25" customHeight="1" x14ac:dyDescent="0.2">
      <c r="A561" s="203">
        <v>628</v>
      </c>
      <c r="B561" s="229" t="s">
        <v>1586</v>
      </c>
      <c r="C561" s="263" t="s">
        <v>1587</v>
      </c>
      <c r="D561" s="229" t="s">
        <v>1590</v>
      </c>
      <c r="E561" s="123" t="s">
        <v>355</v>
      </c>
      <c r="F561" s="179" t="s">
        <v>54</v>
      </c>
      <c r="G561" s="26" t="s">
        <v>55</v>
      </c>
      <c r="H561" s="26" t="s">
        <v>421</v>
      </c>
      <c r="J561" s="22">
        <v>250</v>
      </c>
      <c r="K561" s="180"/>
      <c r="L561" s="180" t="s">
        <v>57</v>
      </c>
      <c r="M561" s="22" t="s">
        <v>58</v>
      </c>
      <c r="N561" s="22" t="s">
        <v>1919</v>
      </c>
      <c r="O561" s="176" t="s">
        <v>59</v>
      </c>
      <c r="P561" s="22" t="s">
        <v>1920</v>
      </c>
      <c r="Q561" s="177" t="s">
        <v>357</v>
      </c>
      <c r="R561" s="23" t="s">
        <v>1923</v>
      </c>
      <c r="T561" s="177">
        <v>100</v>
      </c>
      <c r="U561" s="177"/>
      <c r="V561" s="25" t="s">
        <v>613</v>
      </c>
      <c r="W561" s="65" t="s">
        <v>1921</v>
      </c>
      <c r="X561" s="106" t="s">
        <v>333</v>
      </c>
      <c r="Y561" s="25" t="s">
        <v>1922</v>
      </c>
      <c r="Z561" s="167" t="s">
        <v>62</v>
      </c>
      <c r="AA561" s="6">
        <v>24</v>
      </c>
      <c r="AB561" s="6">
        <v>0</v>
      </c>
      <c r="AD561" s="163" t="s">
        <v>79</v>
      </c>
      <c r="AI561" s="5">
        <v>21</v>
      </c>
      <c r="AJ561" s="5">
        <v>40</v>
      </c>
      <c r="BQ561" s="6" t="s">
        <v>213</v>
      </c>
      <c r="BR561" s="5" t="s">
        <v>1918</v>
      </c>
    </row>
    <row r="562" spans="1:70" ht="14.25" customHeight="1" x14ac:dyDescent="0.2">
      <c r="A562" s="91">
        <v>629</v>
      </c>
      <c r="B562" s="229" t="s">
        <v>1605</v>
      </c>
      <c r="C562" s="263" t="s">
        <v>1604</v>
      </c>
      <c r="D562" s="229" t="s">
        <v>1727</v>
      </c>
      <c r="E562" s="123" t="s">
        <v>1607</v>
      </c>
      <c r="F562" s="179" t="s">
        <v>102</v>
      </c>
      <c r="G562" s="26" t="s">
        <v>55</v>
      </c>
      <c r="H562" s="26" t="s">
        <v>56</v>
      </c>
      <c r="J562" s="22">
        <v>0.08</v>
      </c>
      <c r="K562" s="180"/>
      <c r="L562" s="180" t="s">
        <v>57</v>
      </c>
      <c r="M562" s="22" t="s">
        <v>77</v>
      </c>
      <c r="N562" s="22">
        <v>1</v>
      </c>
      <c r="O562" s="176" t="s">
        <v>59</v>
      </c>
      <c r="P562" s="22" t="s">
        <v>78</v>
      </c>
      <c r="Q562" s="177" t="s">
        <v>1695</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1608</v>
      </c>
    </row>
    <row r="563" spans="1:70" ht="14.25" customHeight="1" x14ac:dyDescent="0.2">
      <c r="A563" s="91">
        <v>630</v>
      </c>
      <c r="B563" s="229" t="s">
        <v>1605</v>
      </c>
      <c r="C563" s="263" t="s">
        <v>1604</v>
      </c>
      <c r="D563" s="229" t="s">
        <v>1606</v>
      </c>
      <c r="E563" s="123" t="s">
        <v>1607</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1608</v>
      </c>
    </row>
    <row r="564" spans="1:70" ht="14.25" customHeight="1" x14ac:dyDescent="0.2">
      <c r="A564" s="91">
        <v>631</v>
      </c>
      <c r="B564" s="229" t="s">
        <v>1609</v>
      </c>
      <c r="C564" s="263" t="s">
        <v>1610</v>
      </c>
      <c r="D564" s="229" t="s">
        <v>1611</v>
      </c>
      <c r="E564" s="123" t="s">
        <v>1607</v>
      </c>
      <c r="F564" s="179" t="s">
        <v>102</v>
      </c>
      <c r="G564" s="26" t="s">
        <v>55</v>
      </c>
      <c r="H564" s="179" t="s">
        <v>1337</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1612</v>
      </c>
    </row>
    <row r="565" spans="1:70" ht="14.25" customHeight="1" x14ac:dyDescent="0.2">
      <c r="A565" s="92">
        <v>632</v>
      </c>
      <c r="B565" s="229" t="s">
        <v>1609</v>
      </c>
      <c r="C565" s="263" t="s">
        <v>1610</v>
      </c>
      <c r="D565" s="229" t="s">
        <v>1636</v>
      </c>
      <c r="E565" s="123" t="s">
        <v>1607</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1612</v>
      </c>
    </row>
    <row r="566" spans="1:70" ht="14.25" x14ac:dyDescent="0.2">
      <c r="A566" s="91">
        <v>633</v>
      </c>
      <c r="B566" s="229" t="s">
        <v>1613</v>
      </c>
      <c r="C566" s="263" t="s">
        <v>1614</v>
      </c>
      <c r="D566" s="229" t="s">
        <v>199</v>
      </c>
      <c r="E566" s="123" t="s">
        <v>1607</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1615</v>
      </c>
      <c r="Y566" s="25" t="s">
        <v>1616</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1618</v>
      </c>
      <c r="C567" s="263" t="s">
        <v>1617</v>
      </c>
      <c r="D567" s="229" t="s">
        <v>613</v>
      </c>
      <c r="E567" s="123" t="s">
        <v>1607</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1618</v>
      </c>
      <c r="C568" s="263" t="s">
        <v>1617</v>
      </c>
      <c r="D568" s="229" t="s">
        <v>642</v>
      </c>
      <c r="E568" s="123" t="s">
        <v>1607</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1619</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1620</v>
      </c>
      <c r="C569" s="263" t="s">
        <v>1621</v>
      </c>
      <c r="D569" s="229" t="s">
        <v>1622</v>
      </c>
      <c r="E569" s="123" t="s">
        <v>1607</v>
      </c>
      <c r="F569" s="179" t="s">
        <v>102</v>
      </c>
      <c r="G569" s="179" t="s">
        <v>55</v>
      </c>
      <c r="H569" s="179" t="s">
        <v>1625</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1620</v>
      </c>
      <c r="C570" s="263" t="s">
        <v>1621</v>
      </c>
      <c r="D570" s="229" t="s">
        <v>1623</v>
      </c>
      <c r="E570" s="123" t="s">
        <v>1607</v>
      </c>
      <c r="F570" s="179" t="s">
        <v>102</v>
      </c>
      <c r="G570" s="179" t="s">
        <v>55</v>
      </c>
      <c r="H570" s="26" t="s">
        <v>1626</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1620</v>
      </c>
      <c r="C571" s="263" t="s">
        <v>1621</v>
      </c>
      <c r="D571" s="229" t="s">
        <v>1624</v>
      </c>
      <c r="E571" s="123" t="s">
        <v>1607</v>
      </c>
      <c r="F571" s="179" t="s">
        <v>102</v>
      </c>
      <c r="G571" s="179" t="s">
        <v>55</v>
      </c>
      <c r="H571" s="26" t="s">
        <v>1627</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1628</v>
      </c>
      <c r="C572" s="263" t="s">
        <v>1629</v>
      </c>
      <c r="D572" s="229" t="s">
        <v>1630</v>
      </c>
      <c r="E572" s="123" t="s">
        <v>1607</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1631</v>
      </c>
    </row>
    <row r="573" spans="1:70" ht="14.25" x14ac:dyDescent="0.2">
      <c r="A573" s="91">
        <v>640</v>
      </c>
      <c r="B573" s="229" t="s">
        <v>1648</v>
      </c>
      <c r="C573" s="263" t="s">
        <v>1634</v>
      </c>
      <c r="D573" s="229" t="s">
        <v>1630</v>
      </c>
      <c r="E573" s="123" t="s">
        <v>1607</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1648</v>
      </c>
      <c r="C574" s="263" t="s">
        <v>1634</v>
      </c>
      <c r="D574" s="229" t="s">
        <v>1632</v>
      </c>
      <c r="E574" s="123" t="s">
        <v>1607</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1648</v>
      </c>
      <c r="C575" s="263" t="s">
        <v>1634</v>
      </c>
      <c r="D575" s="229" t="s">
        <v>1633</v>
      </c>
      <c r="E575" s="123" t="s">
        <v>1607</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1648</v>
      </c>
      <c r="C576" s="263" t="s">
        <v>1634</v>
      </c>
      <c r="D576" s="229" t="s">
        <v>1635</v>
      </c>
      <c r="E576" s="123" t="s">
        <v>1607</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1647</v>
      </c>
      <c r="C577" s="263" t="s">
        <v>1646</v>
      </c>
      <c r="D577" s="229" t="s">
        <v>1649</v>
      </c>
      <c r="E577" s="123" t="s">
        <v>1607</v>
      </c>
      <c r="F577" s="179" t="s">
        <v>102</v>
      </c>
      <c r="G577" s="179" t="s">
        <v>55</v>
      </c>
      <c r="H577" s="26" t="s">
        <v>1655</v>
      </c>
      <c r="J577" s="176">
        <v>50</v>
      </c>
      <c r="K577" s="180"/>
      <c r="L577" s="180" t="s">
        <v>57</v>
      </c>
      <c r="M577" s="176" t="s">
        <v>58</v>
      </c>
      <c r="N577" s="176">
        <v>0</v>
      </c>
      <c r="O577" s="176" t="s">
        <v>59</v>
      </c>
      <c r="P577" s="176" t="s">
        <v>78</v>
      </c>
      <c r="Q577" s="177"/>
      <c r="T577" s="177">
        <v>250</v>
      </c>
      <c r="U577" s="177"/>
      <c r="V577" s="25" t="s">
        <v>61</v>
      </c>
      <c r="W577" s="65">
        <v>10</v>
      </c>
      <c r="X577" s="106" t="s">
        <v>1654</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1647</v>
      </c>
      <c r="C578" s="263" t="s">
        <v>1646</v>
      </c>
      <c r="D578" s="229" t="s">
        <v>1650</v>
      </c>
      <c r="E578" s="123" t="s">
        <v>1607</v>
      </c>
      <c r="F578" s="179" t="s">
        <v>102</v>
      </c>
      <c r="G578" s="179" t="s">
        <v>55</v>
      </c>
      <c r="H578" s="179" t="s">
        <v>1655</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1654</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1647</v>
      </c>
      <c r="C579" s="263" t="s">
        <v>1646</v>
      </c>
      <c r="D579" s="229" t="s">
        <v>1651</v>
      </c>
      <c r="E579" s="123" t="s">
        <v>1607</v>
      </c>
      <c r="F579" s="179" t="s">
        <v>102</v>
      </c>
      <c r="G579" s="179" t="s">
        <v>55</v>
      </c>
      <c r="H579" s="26" t="s">
        <v>1655</v>
      </c>
      <c r="J579" s="176">
        <v>50</v>
      </c>
      <c r="K579" s="180"/>
      <c r="L579" s="180" t="s">
        <v>57</v>
      </c>
      <c r="M579" s="176" t="s">
        <v>58</v>
      </c>
      <c r="N579" s="176">
        <v>0</v>
      </c>
      <c r="O579" s="176" t="s">
        <v>59</v>
      </c>
      <c r="P579" s="176" t="s">
        <v>78</v>
      </c>
      <c r="T579" s="23">
        <v>250</v>
      </c>
      <c r="V579" s="25" t="s">
        <v>61</v>
      </c>
      <c r="W579" s="65">
        <v>10</v>
      </c>
      <c r="X579" s="106" t="s">
        <v>1654</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1647</v>
      </c>
      <c r="C580" s="263" t="s">
        <v>1646</v>
      </c>
      <c r="D580" s="229" t="s">
        <v>1652</v>
      </c>
      <c r="E580" s="123" t="s">
        <v>1607</v>
      </c>
      <c r="F580" s="179" t="s">
        <v>102</v>
      </c>
      <c r="G580" s="179" t="s">
        <v>55</v>
      </c>
      <c r="H580" s="179" t="s">
        <v>1655</v>
      </c>
      <c r="J580" s="176">
        <v>50</v>
      </c>
      <c r="K580" s="180"/>
      <c r="L580" s="180" t="s">
        <v>57</v>
      </c>
      <c r="M580" s="176" t="s">
        <v>58</v>
      </c>
      <c r="N580" s="176">
        <v>0</v>
      </c>
      <c r="O580" s="176" t="s">
        <v>59</v>
      </c>
      <c r="P580" s="176" t="s">
        <v>78</v>
      </c>
      <c r="T580" s="23">
        <v>250</v>
      </c>
      <c r="V580" s="25" t="s">
        <v>61</v>
      </c>
      <c r="W580" s="65">
        <v>10</v>
      </c>
      <c r="X580" s="106" t="s">
        <v>1654</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1647</v>
      </c>
      <c r="C581" s="263" t="s">
        <v>1646</v>
      </c>
      <c r="D581" s="229" t="s">
        <v>1653</v>
      </c>
      <c r="E581" s="123" t="s">
        <v>1607</v>
      </c>
      <c r="F581" s="179" t="s">
        <v>102</v>
      </c>
      <c r="G581" s="179" t="s">
        <v>55</v>
      </c>
      <c r="H581" s="26" t="s">
        <v>1655</v>
      </c>
      <c r="J581" s="22">
        <v>50</v>
      </c>
      <c r="L581" s="28" t="s">
        <v>57</v>
      </c>
      <c r="M581" s="22" t="s">
        <v>58</v>
      </c>
      <c r="N581" s="22">
        <v>0</v>
      </c>
      <c r="O581" s="22" t="s">
        <v>59</v>
      </c>
      <c r="P581" s="22" t="s">
        <v>78</v>
      </c>
      <c r="T581" s="23">
        <v>250</v>
      </c>
      <c r="V581" s="25" t="s">
        <v>61</v>
      </c>
      <c r="W581" s="65">
        <v>10</v>
      </c>
      <c r="X581" s="106" t="s">
        <v>1654</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1657</v>
      </c>
      <c r="C582" s="263" t="s">
        <v>1656</v>
      </c>
      <c r="D582" s="229" t="s">
        <v>1607</v>
      </c>
      <c r="E582" s="123" t="s">
        <v>1607</v>
      </c>
      <c r="F582" s="179" t="s">
        <v>102</v>
      </c>
      <c r="G582" s="179" t="s">
        <v>55</v>
      </c>
      <c r="H582" s="179" t="s">
        <v>1658</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1660</v>
      </c>
      <c r="C583" s="263" t="s">
        <v>1659</v>
      </c>
      <c r="D583" s="229" t="s">
        <v>1661</v>
      </c>
      <c r="E583" s="123" t="s">
        <v>1607</v>
      </c>
      <c r="F583" s="179" t="s">
        <v>102</v>
      </c>
      <c r="G583" s="179" t="s">
        <v>55</v>
      </c>
      <c r="H583" s="179" t="s">
        <v>1662</v>
      </c>
      <c r="I583" s="179"/>
      <c r="J583" s="176">
        <v>10</v>
      </c>
      <c r="K583" s="180"/>
      <c r="L583" s="180" t="s">
        <v>57</v>
      </c>
      <c r="M583" s="176" t="s">
        <v>58</v>
      </c>
      <c r="N583" s="176" t="s">
        <v>1664</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1663</v>
      </c>
    </row>
    <row r="584" spans="1:70" ht="14.25" x14ac:dyDescent="0.2">
      <c r="A584" s="91">
        <v>651</v>
      </c>
      <c r="B584" s="229" t="s">
        <v>1665</v>
      </c>
      <c r="C584" s="263" t="s">
        <v>1666</v>
      </c>
      <c r="D584" s="229" t="s">
        <v>329</v>
      </c>
      <c r="E584" s="123" t="s">
        <v>1607</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1665</v>
      </c>
      <c r="C585" s="263" t="s">
        <v>1666</v>
      </c>
      <c r="D585" s="229" t="s">
        <v>1667</v>
      </c>
      <c r="E585" s="123" t="s">
        <v>1607</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1665</v>
      </c>
      <c r="C586" s="263" t="s">
        <v>1666</v>
      </c>
      <c r="D586" s="229" t="s">
        <v>1668</v>
      </c>
      <c r="E586" s="123" t="s">
        <v>1607</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1665</v>
      </c>
      <c r="C587" s="263" t="s">
        <v>1666</v>
      </c>
      <c r="D587" s="229" t="s">
        <v>1669</v>
      </c>
      <c r="E587" s="123" t="s">
        <v>1607</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1670</v>
      </c>
    </row>
    <row r="588" spans="1:70" ht="14.25" x14ac:dyDescent="0.2">
      <c r="A588" s="91">
        <v>655</v>
      </c>
      <c r="B588" s="229" t="s">
        <v>1683</v>
      </c>
      <c r="C588" s="263" t="s">
        <v>1671</v>
      </c>
      <c r="D588" s="229" t="s">
        <v>1674</v>
      </c>
      <c r="E588" s="123" t="s">
        <v>1607</v>
      </c>
      <c r="F588" s="179" t="s">
        <v>102</v>
      </c>
      <c r="G588" s="179" t="s">
        <v>55</v>
      </c>
      <c r="H588" s="26" t="s">
        <v>1687</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1672</v>
      </c>
    </row>
    <row r="589" spans="1:70" ht="14.25" x14ac:dyDescent="0.2">
      <c r="A589" s="91">
        <v>656</v>
      </c>
      <c r="B589" s="229" t="s">
        <v>1683</v>
      </c>
      <c r="C589" s="263" t="s">
        <v>1671</v>
      </c>
      <c r="D589" s="229" t="s">
        <v>1673</v>
      </c>
      <c r="E589" s="123" t="s">
        <v>1607</v>
      </c>
      <c r="F589" s="179" t="s">
        <v>102</v>
      </c>
      <c r="G589" s="179" t="s">
        <v>55</v>
      </c>
      <c r="H589" s="179" t="s">
        <v>1687</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1683</v>
      </c>
      <c r="C590" s="263" t="s">
        <v>1671</v>
      </c>
      <c r="D590" s="229" t="s">
        <v>1675</v>
      </c>
      <c r="E590" s="123" t="s">
        <v>1607</v>
      </c>
      <c r="F590" s="179" t="s">
        <v>102</v>
      </c>
      <c r="G590" s="179" t="s">
        <v>55</v>
      </c>
      <c r="H590" s="179" t="s">
        <v>1687</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1683</v>
      </c>
      <c r="C591" s="263" t="s">
        <v>1671</v>
      </c>
      <c r="D591" s="229" t="s">
        <v>1676</v>
      </c>
      <c r="E591" s="123" t="s">
        <v>1607</v>
      </c>
      <c r="F591" s="179" t="s">
        <v>102</v>
      </c>
      <c r="G591" s="179" t="s">
        <v>55</v>
      </c>
      <c r="H591" s="179" t="s">
        <v>1687</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1683</v>
      </c>
      <c r="C592" s="263" t="s">
        <v>1671</v>
      </c>
      <c r="D592" s="229" t="s">
        <v>1677</v>
      </c>
      <c r="E592" s="123" t="s">
        <v>1607</v>
      </c>
      <c r="F592" s="179" t="s">
        <v>102</v>
      </c>
      <c r="G592" s="179" t="s">
        <v>55</v>
      </c>
      <c r="H592" s="26" t="s">
        <v>1687</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1683</v>
      </c>
      <c r="C593" s="263" t="s">
        <v>1671</v>
      </c>
      <c r="D593" s="229" t="s">
        <v>1678</v>
      </c>
      <c r="E593" s="123" t="s">
        <v>1607</v>
      </c>
      <c r="F593" s="179" t="s">
        <v>102</v>
      </c>
      <c r="G593" s="179" t="s">
        <v>55</v>
      </c>
      <c r="H593" s="179" t="s">
        <v>1687</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1683</v>
      </c>
      <c r="C594" s="263" t="s">
        <v>1671</v>
      </c>
      <c r="D594" s="229" t="s">
        <v>1680</v>
      </c>
      <c r="E594" s="123" t="s">
        <v>1607</v>
      </c>
      <c r="F594" s="179" t="s">
        <v>102</v>
      </c>
      <c r="G594" s="179" t="s">
        <v>55</v>
      </c>
      <c r="H594" s="179" t="s">
        <v>1688</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1683</v>
      </c>
      <c r="C595" s="263" t="s">
        <v>1671</v>
      </c>
      <c r="D595" s="229" t="s">
        <v>1679</v>
      </c>
      <c r="E595" s="123" t="s">
        <v>1607</v>
      </c>
      <c r="F595" s="179" t="s">
        <v>102</v>
      </c>
      <c r="G595" s="179" t="s">
        <v>55</v>
      </c>
      <c r="H595" s="179" t="s">
        <v>1687</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1683</v>
      </c>
      <c r="C596" s="263" t="s">
        <v>1671</v>
      </c>
      <c r="D596" s="229" t="s">
        <v>1681</v>
      </c>
      <c r="E596" s="123" t="s">
        <v>1607</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1682</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1683</v>
      </c>
      <c r="C597" s="263" t="s">
        <v>1671</v>
      </c>
      <c r="D597" s="229" t="s">
        <v>1715</v>
      </c>
      <c r="E597" s="123" t="s">
        <v>1607</v>
      </c>
      <c r="F597" s="179" t="s">
        <v>102</v>
      </c>
      <c r="G597" s="179" t="s">
        <v>55</v>
      </c>
      <c r="H597" s="179" t="s">
        <v>1689</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1683</v>
      </c>
      <c r="C598" s="263" t="s">
        <v>1671</v>
      </c>
      <c r="D598" s="229" t="s">
        <v>1716</v>
      </c>
      <c r="E598" s="123" t="s">
        <v>1607</v>
      </c>
      <c r="F598" s="179" t="s">
        <v>102</v>
      </c>
      <c r="G598" s="179" t="s">
        <v>55</v>
      </c>
      <c r="H598" s="26" t="s">
        <v>1689</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1683</v>
      </c>
      <c r="C599" s="263" t="s">
        <v>1671</v>
      </c>
      <c r="D599" s="229" t="s">
        <v>1717</v>
      </c>
      <c r="E599" s="123" t="s">
        <v>1607</v>
      </c>
      <c r="F599" s="179" t="s">
        <v>102</v>
      </c>
      <c r="G599" s="179" t="s">
        <v>55</v>
      </c>
      <c r="H599" s="179" t="s">
        <v>1689</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1683</v>
      </c>
      <c r="C600" s="263" t="s">
        <v>1671</v>
      </c>
      <c r="D600" s="229" t="s">
        <v>1718</v>
      </c>
      <c r="E600" s="123" t="s">
        <v>1607</v>
      </c>
      <c r="F600" s="179" t="s">
        <v>102</v>
      </c>
      <c r="G600" s="179" t="s">
        <v>55</v>
      </c>
      <c r="H600" s="179" t="s">
        <v>1689</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1683</v>
      </c>
      <c r="C601" s="263" t="s">
        <v>1671</v>
      </c>
      <c r="D601" s="229" t="s">
        <v>1719</v>
      </c>
      <c r="E601" s="123" t="s">
        <v>1607</v>
      </c>
      <c r="F601" s="179" t="s">
        <v>102</v>
      </c>
      <c r="G601" s="179" t="s">
        <v>55</v>
      </c>
      <c r="H601" s="26" t="s">
        <v>1689</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1721</v>
      </c>
      <c r="C602" s="263" t="s">
        <v>1720</v>
      </c>
      <c r="D602" s="229" t="s">
        <v>1722</v>
      </c>
      <c r="E602" s="123" t="s">
        <v>572</v>
      </c>
      <c r="F602" s="179" t="s">
        <v>102</v>
      </c>
      <c r="G602" s="179" t="s">
        <v>55</v>
      </c>
      <c r="H602" s="179" t="s">
        <v>1723</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1696</v>
      </c>
      <c r="C603" s="263" t="s">
        <v>1697</v>
      </c>
      <c r="D603" s="229" t="s">
        <v>1728</v>
      </c>
      <c r="E603" s="123" t="s">
        <v>1690</v>
      </c>
      <c r="F603" s="179" t="s">
        <v>1698</v>
      </c>
      <c r="G603" s="179" t="s">
        <v>55</v>
      </c>
      <c r="H603" s="179" t="s">
        <v>1699</v>
      </c>
      <c r="I603" s="26" t="s">
        <v>1700</v>
      </c>
      <c r="J603" s="22">
        <v>50</v>
      </c>
      <c r="L603" s="180" t="s">
        <v>57</v>
      </c>
      <c r="M603" s="176" t="s">
        <v>58</v>
      </c>
      <c r="N603" s="176">
        <v>0</v>
      </c>
      <c r="O603" s="176" t="s">
        <v>59</v>
      </c>
      <c r="P603" s="176" t="s">
        <v>78</v>
      </c>
      <c r="Q603" s="23" t="s">
        <v>1694</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1696</v>
      </c>
      <c r="C604" s="263" t="s">
        <v>1697</v>
      </c>
      <c r="D604" s="229" t="s">
        <v>1729</v>
      </c>
      <c r="E604" s="123" t="s">
        <v>1691</v>
      </c>
      <c r="F604" s="179" t="s">
        <v>1698</v>
      </c>
      <c r="G604" s="179" t="s">
        <v>55</v>
      </c>
      <c r="H604" s="179" t="s">
        <v>1699</v>
      </c>
      <c r="I604" s="26" t="s">
        <v>1700</v>
      </c>
      <c r="J604" s="22">
        <v>50</v>
      </c>
      <c r="L604" s="180" t="s">
        <v>57</v>
      </c>
      <c r="M604" s="176" t="s">
        <v>58</v>
      </c>
      <c r="N604" s="176">
        <v>0</v>
      </c>
      <c r="O604" s="176" t="s">
        <v>59</v>
      </c>
      <c r="P604" s="176" t="s">
        <v>78</v>
      </c>
      <c r="Q604" s="23" t="s">
        <v>1694</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1696</v>
      </c>
      <c r="C605" s="263" t="s">
        <v>1697</v>
      </c>
      <c r="D605" s="229" t="s">
        <v>1730</v>
      </c>
      <c r="E605" s="123" t="s">
        <v>1692</v>
      </c>
      <c r="F605" s="179" t="s">
        <v>1698</v>
      </c>
      <c r="G605" s="179" t="s">
        <v>55</v>
      </c>
      <c r="H605" s="179" t="s">
        <v>1699</v>
      </c>
      <c r="I605" s="26" t="s">
        <v>1700</v>
      </c>
      <c r="J605" s="22">
        <v>50</v>
      </c>
      <c r="L605" s="180" t="s">
        <v>57</v>
      </c>
      <c r="M605" s="176" t="s">
        <v>58</v>
      </c>
      <c r="N605" s="176">
        <v>0</v>
      </c>
      <c r="O605" s="176" t="s">
        <v>59</v>
      </c>
      <c r="P605" s="176" t="s">
        <v>78</v>
      </c>
      <c r="Q605" s="23" t="s">
        <v>1694</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1696</v>
      </c>
      <c r="C606" s="263" t="s">
        <v>1697</v>
      </c>
      <c r="D606" s="229" t="s">
        <v>1731</v>
      </c>
      <c r="E606" s="123" t="s">
        <v>1607</v>
      </c>
      <c r="F606" s="26" t="s">
        <v>70</v>
      </c>
      <c r="G606" s="26" t="s">
        <v>55</v>
      </c>
      <c r="H606" s="26" t="s">
        <v>1699</v>
      </c>
      <c r="I606" s="26" t="s">
        <v>1700</v>
      </c>
      <c r="J606" s="176">
        <v>50</v>
      </c>
      <c r="K606" s="180"/>
      <c r="L606" s="180" t="s">
        <v>57</v>
      </c>
      <c r="M606" s="176" t="s">
        <v>58</v>
      </c>
      <c r="N606" s="176">
        <v>0</v>
      </c>
      <c r="O606" s="176" t="s">
        <v>59</v>
      </c>
      <c r="P606" s="176" t="s">
        <v>78</v>
      </c>
      <c r="Q606" s="23" t="s">
        <v>1694</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1696</v>
      </c>
      <c r="C607" s="263" t="s">
        <v>1697</v>
      </c>
      <c r="D607" s="229" t="s">
        <v>1732</v>
      </c>
      <c r="E607" s="3" t="s">
        <v>1607</v>
      </c>
      <c r="F607" s="26" t="s">
        <v>1693</v>
      </c>
      <c r="G607" s="179" t="s">
        <v>55</v>
      </c>
      <c r="H607" s="26" t="s">
        <v>1699</v>
      </c>
      <c r="I607" s="26" t="s">
        <v>1700</v>
      </c>
      <c r="J607" s="22">
        <v>50</v>
      </c>
      <c r="L607" s="28" t="s">
        <v>57</v>
      </c>
      <c r="M607" s="176" t="s">
        <v>58</v>
      </c>
      <c r="N607" s="176">
        <v>0</v>
      </c>
      <c r="O607" s="176" t="s">
        <v>59</v>
      </c>
      <c r="P607" s="176" t="s">
        <v>78</v>
      </c>
      <c r="Q607" s="23" t="s">
        <v>1694</v>
      </c>
      <c r="R607" s="23" t="s">
        <v>170</v>
      </c>
      <c r="Z607" s="167" t="s">
        <v>62</v>
      </c>
      <c r="AA607" s="164">
        <v>6</v>
      </c>
      <c r="AB607" s="6">
        <v>0</v>
      </c>
    </row>
    <row r="608" spans="1:44" ht="14.25" customHeight="1" x14ac:dyDescent="0.2">
      <c r="A608" s="91">
        <v>675</v>
      </c>
      <c r="B608" s="229" t="s">
        <v>1696</v>
      </c>
      <c r="C608" s="263" t="s">
        <v>1697</v>
      </c>
      <c r="D608" s="229" t="s">
        <v>1733</v>
      </c>
      <c r="E608" s="3" t="s">
        <v>1690</v>
      </c>
      <c r="F608" s="179" t="s">
        <v>1698</v>
      </c>
      <c r="G608" s="179" t="s">
        <v>55</v>
      </c>
      <c r="H608" s="179" t="s">
        <v>1699</v>
      </c>
      <c r="I608" s="179" t="s">
        <v>1701</v>
      </c>
      <c r="J608" s="176">
        <v>50</v>
      </c>
      <c r="K608" s="180"/>
      <c r="L608" s="180" t="s">
        <v>57</v>
      </c>
      <c r="M608" s="176" t="s">
        <v>58</v>
      </c>
      <c r="N608" s="176">
        <v>0</v>
      </c>
      <c r="O608" s="176" t="s">
        <v>59</v>
      </c>
      <c r="P608" s="176" t="s">
        <v>78</v>
      </c>
      <c r="Q608" s="177" t="s">
        <v>1694</v>
      </c>
      <c r="R608" s="177" t="s">
        <v>170</v>
      </c>
      <c r="Z608" s="167" t="s">
        <v>62</v>
      </c>
      <c r="AA608" s="164">
        <v>6</v>
      </c>
      <c r="AB608" s="164">
        <v>0</v>
      </c>
    </row>
    <row r="609" spans="1:70" ht="14.25" customHeight="1" x14ac:dyDescent="0.2">
      <c r="A609" s="91">
        <v>676</v>
      </c>
      <c r="B609" s="229" t="s">
        <v>1696</v>
      </c>
      <c r="C609" s="263" t="s">
        <v>1697</v>
      </c>
      <c r="D609" s="229" t="s">
        <v>1734</v>
      </c>
      <c r="E609" s="3" t="s">
        <v>1691</v>
      </c>
      <c r="F609" s="179" t="s">
        <v>1698</v>
      </c>
      <c r="G609" s="179" t="s">
        <v>55</v>
      </c>
      <c r="H609" s="179" t="s">
        <v>1699</v>
      </c>
      <c r="I609" s="179" t="s">
        <v>1701</v>
      </c>
      <c r="J609" s="176">
        <v>50</v>
      </c>
      <c r="K609" s="180"/>
      <c r="L609" s="180" t="s">
        <v>57</v>
      </c>
      <c r="M609" s="176" t="s">
        <v>58</v>
      </c>
      <c r="N609" s="176">
        <v>0</v>
      </c>
      <c r="O609" s="176" t="s">
        <v>59</v>
      </c>
      <c r="P609" s="176" t="s">
        <v>78</v>
      </c>
      <c r="Q609" s="177" t="s">
        <v>1694</v>
      </c>
      <c r="R609" s="177" t="s">
        <v>170</v>
      </c>
      <c r="Z609" s="167" t="s">
        <v>62</v>
      </c>
      <c r="AA609" s="164">
        <v>6</v>
      </c>
      <c r="AB609" s="164">
        <v>0</v>
      </c>
    </row>
    <row r="610" spans="1:70" ht="14.25" customHeight="1" x14ac:dyDescent="0.2">
      <c r="A610" s="91">
        <v>677</v>
      </c>
      <c r="B610" s="229" t="s">
        <v>1683</v>
      </c>
      <c r="C610" s="263" t="s">
        <v>1671</v>
      </c>
      <c r="D610" s="229" t="s">
        <v>1702</v>
      </c>
      <c r="E610" s="123" t="s">
        <v>1607</v>
      </c>
      <c r="F610" s="26" t="s">
        <v>70</v>
      </c>
      <c r="G610" s="179" t="s">
        <v>55</v>
      </c>
      <c r="H610" s="179" t="s">
        <v>1709</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1672</v>
      </c>
    </row>
    <row r="611" spans="1:70" ht="14.25" customHeight="1" x14ac:dyDescent="0.2">
      <c r="A611" s="91">
        <v>678</v>
      </c>
      <c r="B611" s="229" t="s">
        <v>1683</v>
      </c>
      <c r="C611" s="263" t="s">
        <v>1671</v>
      </c>
      <c r="D611" s="229" t="s">
        <v>1703</v>
      </c>
      <c r="E611" s="123" t="s">
        <v>1607</v>
      </c>
      <c r="F611" s="26" t="s">
        <v>70</v>
      </c>
      <c r="G611" s="179" t="s">
        <v>55</v>
      </c>
      <c r="H611" s="179" t="s">
        <v>1709</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1683</v>
      </c>
      <c r="C612" s="263" t="s">
        <v>1671</v>
      </c>
      <c r="D612" s="229" t="s">
        <v>1704</v>
      </c>
      <c r="E612" s="123" t="s">
        <v>1607</v>
      </c>
      <c r="F612" s="179" t="s">
        <v>70</v>
      </c>
      <c r="G612" s="179" t="s">
        <v>55</v>
      </c>
      <c r="H612" s="179" t="s">
        <v>1709</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1683</v>
      </c>
      <c r="C613" s="263" t="s">
        <v>1671</v>
      </c>
      <c r="D613" s="229" t="s">
        <v>1705</v>
      </c>
      <c r="E613" s="123" t="s">
        <v>1607</v>
      </c>
      <c r="F613" s="179" t="s">
        <v>70</v>
      </c>
      <c r="G613" s="179" t="s">
        <v>55</v>
      </c>
      <c r="H613" s="179" t="s">
        <v>1709</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1683</v>
      </c>
      <c r="C614" s="263" t="s">
        <v>1671</v>
      </c>
      <c r="D614" s="229" t="s">
        <v>1706</v>
      </c>
      <c r="E614" s="123" t="s">
        <v>1607</v>
      </c>
      <c r="F614" s="179" t="s">
        <v>70</v>
      </c>
      <c r="G614" s="179" t="s">
        <v>55</v>
      </c>
      <c r="H614" s="179" t="s">
        <v>1709</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1683</v>
      </c>
      <c r="C615" s="263" t="s">
        <v>1671</v>
      </c>
      <c r="D615" s="229" t="s">
        <v>1707</v>
      </c>
      <c r="E615" s="123" t="s">
        <v>1607</v>
      </c>
      <c r="F615" s="179" t="s">
        <v>70</v>
      </c>
      <c r="G615" s="179" t="s">
        <v>55</v>
      </c>
      <c r="H615" s="179" t="s">
        <v>1709</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1683</v>
      </c>
      <c r="C616" s="263" t="s">
        <v>1671</v>
      </c>
      <c r="D616" s="229" t="s">
        <v>1684</v>
      </c>
      <c r="E616" s="123" t="s">
        <v>1607</v>
      </c>
      <c r="F616" s="179" t="s">
        <v>70</v>
      </c>
      <c r="G616" s="179" t="s">
        <v>55</v>
      </c>
      <c r="H616" s="179" t="s">
        <v>1709</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1683</v>
      </c>
      <c r="C617" s="263" t="s">
        <v>1671</v>
      </c>
      <c r="D617" s="229" t="s">
        <v>1708</v>
      </c>
      <c r="E617" s="123" t="s">
        <v>1607</v>
      </c>
      <c r="F617" s="179" t="s">
        <v>70</v>
      </c>
      <c r="G617" s="179" t="s">
        <v>55</v>
      </c>
      <c r="H617" s="179" t="s">
        <v>1709</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1683</v>
      </c>
      <c r="C618" s="263" t="s">
        <v>1671</v>
      </c>
      <c r="D618" s="229" t="s">
        <v>1710</v>
      </c>
      <c r="E618" s="123" t="s">
        <v>1607</v>
      </c>
      <c r="F618" s="179" t="s">
        <v>102</v>
      </c>
      <c r="G618" s="179" t="s">
        <v>55</v>
      </c>
      <c r="H618" s="179" t="s">
        <v>1689</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1683</v>
      </c>
      <c r="C619" s="263" t="s">
        <v>1671</v>
      </c>
      <c r="D619" s="229" t="s">
        <v>1711</v>
      </c>
      <c r="E619" s="123" t="s">
        <v>1607</v>
      </c>
      <c r="F619" s="179" t="s">
        <v>102</v>
      </c>
      <c r="G619" s="179" t="s">
        <v>55</v>
      </c>
      <c r="H619" s="179" t="s">
        <v>1689</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1683</v>
      </c>
      <c r="C620" s="263" t="s">
        <v>1671</v>
      </c>
      <c r="D620" s="229" t="s">
        <v>1712</v>
      </c>
      <c r="E620" s="123" t="s">
        <v>1607</v>
      </c>
      <c r="F620" s="179" t="s">
        <v>102</v>
      </c>
      <c r="G620" s="179" t="s">
        <v>55</v>
      </c>
      <c r="H620" s="179" t="s">
        <v>1689</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1683</v>
      </c>
      <c r="C621" s="263" t="s">
        <v>1671</v>
      </c>
      <c r="D621" s="229" t="s">
        <v>1713</v>
      </c>
      <c r="E621" s="123" t="s">
        <v>1607</v>
      </c>
      <c r="F621" s="179" t="s">
        <v>102</v>
      </c>
      <c r="G621" s="179" t="s">
        <v>55</v>
      </c>
      <c r="H621" s="179" t="s">
        <v>1689</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1683</v>
      </c>
      <c r="C622" s="263" t="s">
        <v>1671</v>
      </c>
      <c r="D622" s="229" t="s">
        <v>1714</v>
      </c>
      <c r="E622" s="123" t="s">
        <v>1607</v>
      </c>
      <c r="F622" s="179" t="s">
        <v>102</v>
      </c>
      <c r="G622" s="179" t="s">
        <v>55</v>
      </c>
      <c r="H622" s="179" t="s">
        <v>1689</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1824</v>
      </c>
      <c r="C623" s="263" t="s">
        <v>1825</v>
      </c>
      <c r="D623" s="229" t="s">
        <v>1722</v>
      </c>
      <c r="E623" s="123" t="s">
        <v>572</v>
      </c>
      <c r="F623" s="179" t="s">
        <v>102</v>
      </c>
      <c r="G623" s="179" t="s">
        <v>55</v>
      </c>
      <c r="H623" s="179" t="s">
        <v>1826</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1527</v>
      </c>
      <c r="C624" s="263" t="s">
        <v>1528</v>
      </c>
      <c r="D624" s="229" t="s">
        <v>1595</v>
      </c>
      <c r="E624" s="123" t="s">
        <v>355</v>
      </c>
      <c r="F624" s="179" t="s">
        <v>70</v>
      </c>
      <c r="G624" s="179" t="s">
        <v>55</v>
      </c>
      <c r="H624" s="179" t="s">
        <v>237</v>
      </c>
      <c r="I624" s="179"/>
      <c r="J624" s="176">
        <v>250</v>
      </c>
      <c r="K624" s="180"/>
      <c r="L624" s="180" t="s">
        <v>57</v>
      </c>
      <c r="M624" s="176" t="s">
        <v>77</v>
      </c>
      <c r="N624" s="176">
        <v>0</v>
      </c>
      <c r="O624" s="176" t="s">
        <v>59</v>
      </c>
      <c r="P624" s="176" t="s">
        <v>78</v>
      </c>
      <c r="Q624" s="177" t="s">
        <v>1827</v>
      </c>
      <c r="R624" s="177" t="s">
        <v>1828</v>
      </c>
      <c r="S624" s="178">
        <v>3</v>
      </c>
      <c r="T624" s="177"/>
      <c r="U624" s="177" t="s">
        <v>1829</v>
      </c>
      <c r="V624" s="165" t="s">
        <v>613</v>
      </c>
      <c r="W624" s="166" t="s">
        <v>730</v>
      </c>
      <c r="X624" s="106"/>
      <c r="Y624" s="165" t="s">
        <v>1830</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1831</v>
      </c>
      <c r="BR624" s="163" t="s">
        <v>1832</v>
      </c>
    </row>
    <row r="625" spans="1:70" s="122" customFormat="1" ht="14.25" customHeight="1" x14ac:dyDescent="0.2">
      <c r="A625" s="91">
        <v>692</v>
      </c>
      <c r="B625" s="229" t="s">
        <v>1527</v>
      </c>
      <c r="C625" s="263" t="s">
        <v>1528</v>
      </c>
      <c r="D625" s="229" t="s">
        <v>1591</v>
      </c>
      <c r="E625" s="123" t="s">
        <v>355</v>
      </c>
      <c r="F625" s="179" t="s">
        <v>70</v>
      </c>
      <c r="G625" s="179" t="s">
        <v>55</v>
      </c>
      <c r="H625" s="179" t="s">
        <v>323</v>
      </c>
      <c r="I625" s="179"/>
      <c r="J625" s="176">
        <v>125</v>
      </c>
      <c r="K625" s="180"/>
      <c r="L625" s="180" t="s">
        <v>57</v>
      </c>
      <c r="M625" s="176" t="s">
        <v>77</v>
      </c>
      <c r="N625" s="176">
        <v>0</v>
      </c>
      <c r="O625" s="176" t="s">
        <v>59</v>
      </c>
      <c r="P625" s="176" t="s">
        <v>78</v>
      </c>
      <c r="Q625" s="177" t="s">
        <v>1827</v>
      </c>
      <c r="R625" s="177" t="s">
        <v>1828</v>
      </c>
      <c r="S625" s="178">
        <v>15</v>
      </c>
      <c r="T625" s="177"/>
      <c r="U625" s="177" t="s">
        <v>1829</v>
      </c>
      <c r="V625" s="165" t="s">
        <v>613</v>
      </c>
      <c r="W625" s="166" t="s">
        <v>730</v>
      </c>
      <c r="X625" s="106"/>
      <c r="Y625" s="165" t="s">
        <v>1830</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1831</v>
      </c>
      <c r="BR625" s="163" t="s">
        <v>1833</v>
      </c>
    </row>
    <row r="626" spans="1:70" s="122" customFormat="1" ht="14.25" customHeight="1" x14ac:dyDescent="0.2">
      <c r="A626" s="91">
        <v>693</v>
      </c>
      <c r="B626" s="229" t="s">
        <v>1527</v>
      </c>
      <c r="C626" s="263" t="s">
        <v>1528</v>
      </c>
      <c r="D626" s="229" t="s">
        <v>1592</v>
      </c>
      <c r="E626" s="123" t="s">
        <v>355</v>
      </c>
      <c r="F626" s="179" t="s">
        <v>70</v>
      </c>
      <c r="G626" s="179" t="s">
        <v>55</v>
      </c>
      <c r="H626" s="179" t="s">
        <v>323</v>
      </c>
      <c r="I626" s="179"/>
      <c r="J626" s="176">
        <v>250</v>
      </c>
      <c r="K626" s="180"/>
      <c r="L626" s="180" t="s">
        <v>57</v>
      </c>
      <c r="M626" s="176" t="s">
        <v>77</v>
      </c>
      <c r="N626" s="176">
        <v>0</v>
      </c>
      <c r="O626" s="176" t="s">
        <v>59</v>
      </c>
      <c r="P626" s="176" t="s">
        <v>78</v>
      </c>
      <c r="Q626" s="177" t="s">
        <v>1827</v>
      </c>
      <c r="R626" s="177" t="s">
        <v>1828</v>
      </c>
      <c r="S626" s="178">
        <v>15</v>
      </c>
      <c r="T626" s="177"/>
      <c r="U626" s="177" t="s">
        <v>1829</v>
      </c>
      <c r="V626" s="165" t="s">
        <v>613</v>
      </c>
      <c r="W626" s="166" t="s">
        <v>730</v>
      </c>
      <c r="X626" s="106"/>
      <c r="Y626" s="165" t="s">
        <v>1830</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1831</v>
      </c>
      <c r="BR626" s="163" t="s">
        <v>1833</v>
      </c>
    </row>
    <row r="627" spans="1:70" ht="12.75" customHeight="1" x14ac:dyDescent="0.2">
      <c r="A627" s="91">
        <v>694</v>
      </c>
      <c r="B627" s="229" t="s">
        <v>1527</v>
      </c>
      <c r="C627" s="263" t="s">
        <v>1528</v>
      </c>
      <c r="D627" s="229" t="s">
        <v>1593</v>
      </c>
      <c r="E627" s="3" t="s">
        <v>355</v>
      </c>
      <c r="F627" s="26" t="s">
        <v>70</v>
      </c>
      <c r="G627" s="26" t="s">
        <v>55</v>
      </c>
      <c r="H627" s="26" t="s">
        <v>323</v>
      </c>
      <c r="J627" s="22">
        <v>500</v>
      </c>
      <c r="L627" s="28" t="s">
        <v>57</v>
      </c>
      <c r="M627" s="22" t="s">
        <v>77</v>
      </c>
      <c r="N627" s="22">
        <v>0</v>
      </c>
      <c r="O627" s="22" t="s">
        <v>59</v>
      </c>
      <c r="P627" s="22" t="s">
        <v>78</v>
      </c>
      <c r="Q627" s="23" t="s">
        <v>1827</v>
      </c>
      <c r="R627" s="23" t="s">
        <v>1828</v>
      </c>
      <c r="S627" s="24">
        <v>15</v>
      </c>
      <c r="U627" s="23" t="s">
        <v>1829</v>
      </c>
      <c r="V627" s="25" t="s">
        <v>613</v>
      </c>
      <c r="W627" s="65" t="s">
        <v>730</v>
      </c>
      <c r="Y627" s="25" t="s">
        <v>1830</v>
      </c>
      <c r="Z627" s="83" t="s">
        <v>62</v>
      </c>
      <c r="AA627" s="6">
        <v>4</v>
      </c>
      <c r="AB627" s="6">
        <v>1</v>
      </c>
      <c r="AD627" s="5" t="s">
        <v>79</v>
      </c>
      <c r="AI627" s="5">
        <v>19</v>
      </c>
      <c r="AJ627" s="5">
        <v>20</v>
      </c>
      <c r="AL627" s="6" t="s">
        <v>80</v>
      </c>
      <c r="AQ627" s="6">
        <v>61.2</v>
      </c>
      <c r="AR627" s="6">
        <v>77.3</v>
      </c>
      <c r="BQ627" s="6" t="s">
        <v>1831</v>
      </c>
      <c r="BR627" s="5" t="s">
        <v>1833</v>
      </c>
    </row>
    <row r="628" spans="1:70" ht="12.75" customHeight="1" x14ac:dyDescent="0.2">
      <c r="A628" s="91">
        <v>695</v>
      </c>
      <c r="B628" s="229" t="s">
        <v>1527</v>
      </c>
      <c r="C628" s="263" t="s">
        <v>1528</v>
      </c>
      <c r="D628" s="229" t="s">
        <v>1594</v>
      </c>
      <c r="E628" s="3" t="s">
        <v>355</v>
      </c>
      <c r="F628" s="26" t="s">
        <v>70</v>
      </c>
      <c r="G628" s="26" t="s">
        <v>55</v>
      </c>
      <c r="H628" s="26" t="s">
        <v>323</v>
      </c>
      <c r="J628" s="22">
        <v>900</v>
      </c>
      <c r="L628" s="28" t="s">
        <v>57</v>
      </c>
      <c r="M628" s="22" t="s">
        <v>77</v>
      </c>
      <c r="N628" s="22">
        <v>0</v>
      </c>
      <c r="O628" s="22" t="s">
        <v>59</v>
      </c>
      <c r="P628" s="22" t="s">
        <v>78</v>
      </c>
      <c r="Q628" s="23" t="s">
        <v>1827</v>
      </c>
      <c r="R628" s="23" t="s">
        <v>1828</v>
      </c>
      <c r="S628" s="24">
        <v>15</v>
      </c>
      <c r="U628" s="23" t="s">
        <v>1829</v>
      </c>
      <c r="V628" s="25" t="s">
        <v>613</v>
      </c>
      <c r="W628" s="65" t="s">
        <v>730</v>
      </c>
      <c r="Y628" s="25" t="s">
        <v>1830</v>
      </c>
      <c r="Z628" s="83" t="s">
        <v>62</v>
      </c>
      <c r="AA628" s="6">
        <v>3</v>
      </c>
      <c r="AB628" s="6">
        <v>1</v>
      </c>
      <c r="AD628" s="5" t="s">
        <v>79</v>
      </c>
      <c r="AI628" s="5">
        <v>19</v>
      </c>
      <c r="AJ628" s="5">
        <v>19</v>
      </c>
      <c r="AL628" s="6" t="s">
        <v>80</v>
      </c>
      <c r="AQ628" s="6">
        <v>62.2</v>
      </c>
      <c r="AR628" s="6">
        <v>77.3</v>
      </c>
      <c r="BQ628" s="6" t="s">
        <v>1831</v>
      </c>
      <c r="BR628" s="5" t="s">
        <v>1833</v>
      </c>
    </row>
    <row r="629" spans="1:70" ht="12.75" customHeight="1" x14ac:dyDescent="0.2">
      <c r="A629" s="91">
        <v>696</v>
      </c>
      <c r="B629" s="229" t="s">
        <v>1529</v>
      </c>
      <c r="C629" s="263" t="s">
        <v>1530</v>
      </c>
      <c r="D629" s="229" t="s">
        <v>1531</v>
      </c>
      <c r="E629" s="3" t="s">
        <v>355</v>
      </c>
      <c r="F629" s="26" t="s">
        <v>70</v>
      </c>
      <c r="G629" s="26" t="s">
        <v>55</v>
      </c>
      <c r="H629" s="26" t="s">
        <v>1951</v>
      </c>
      <c r="J629" s="22">
        <v>500</v>
      </c>
      <c r="L629" s="28" t="s">
        <v>57</v>
      </c>
      <c r="M629" s="22" t="s">
        <v>77</v>
      </c>
      <c r="N629" s="22">
        <v>0</v>
      </c>
      <c r="O629" s="22" t="s">
        <v>59</v>
      </c>
      <c r="P629" s="22" t="s">
        <v>78</v>
      </c>
      <c r="Q629" s="23" t="s">
        <v>1834</v>
      </c>
      <c r="R629" s="23" t="s">
        <v>1835</v>
      </c>
      <c r="S629" s="24">
        <v>30</v>
      </c>
      <c r="Z629" s="83" t="s">
        <v>62</v>
      </c>
      <c r="AA629" s="6">
        <v>6</v>
      </c>
      <c r="AB629" s="6">
        <v>1</v>
      </c>
      <c r="AC629" s="5">
        <v>24.5</v>
      </c>
      <c r="AD629" s="5" t="s">
        <v>79</v>
      </c>
      <c r="AE629" s="5" t="s">
        <v>115</v>
      </c>
      <c r="AF629" s="5">
        <v>1.6</v>
      </c>
      <c r="AG629" s="5" t="s">
        <v>79</v>
      </c>
      <c r="AH629" s="5" t="s">
        <v>1836</v>
      </c>
      <c r="AK629" s="6">
        <v>64</v>
      </c>
      <c r="AL629" s="6" t="s">
        <v>80</v>
      </c>
      <c r="AM629" s="6" t="s">
        <v>115</v>
      </c>
      <c r="AN629" s="6">
        <v>7.2</v>
      </c>
      <c r="AO629" s="6" t="s">
        <v>80</v>
      </c>
      <c r="AP629" s="6" t="s">
        <v>1836</v>
      </c>
      <c r="BQ629" s="6" t="s">
        <v>183</v>
      </c>
      <c r="BR629" s="5" t="s">
        <v>1837</v>
      </c>
    </row>
    <row r="630" spans="1:70" ht="12.75" customHeight="1" x14ac:dyDescent="0.2">
      <c r="A630" s="91">
        <v>697</v>
      </c>
      <c r="B630" s="229" t="s">
        <v>1568</v>
      </c>
      <c r="C630" s="263" t="s">
        <v>1569</v>
      </c>
      <c r="D630" s="229" t="s">
        <v>1570</v>
      </c>
      <c r="E630" s="3" t="s">
        <v>355</v>
      </c>
      <c r="F630" s="26" t="s">
        <v>70</v>
      </c>
      <c r="G630" s="26" t="s">
        <v>55</v>
      </c>
      <c r="H630" s="26" t="s">
        <v>1951</v>
      </c>
      <c r="J630" s="22">
        <v>300</v>
      </c>
      <c r="L630" s="28" t="s">
        <v>57</v>
      </c>
      <c r="M630" s="22" t="s">
        <v>77</v>
      </c>
      <c r="N630" s="22">
        <v>0</v>
      </c>
      <c r="O630" s="22" t="s">
        <v>59</v>
      </c>
      <c r="P630" s="22" t="s">
        <v>78</v>
      </c>
      <c r="Q630" s="23" t="s">
        <v>1827</v>
      </c>
      <c r="R630" s="23" t="s">
        <v>1894</v>
      </c>
      <c r="S630" s="24">
        <v>15</v>
      </c>
      <c r="U630" s="23" t="s">
        <v>1895</v>
      </c>
      <c r="Z630" s="83" t="s">
        <v>62</v>
      </c>
      <c r="AA630" s="6">
        <v>8</v>
      </c>
      <c r="AB630" s="6">
        <v>2</v>
      </c>
      <c r="AD630" s="5" t="s">
        <v>79</v>
      </c>
      <c r="AI630" s="5">
        <v>22</v>
      </c>
      <c r="AJ630" s="5">
        <v>33</v>
      </c>
      <c r="BQ630" s="6" t="s">
        <v>1859</v>
      </c>
      <c r="BR630" s="5" t="s">
        <v>1896</v>
      </c>
    </row>
    <row r="631" spans="1:70" ht="12.75" customHeight="1" x14ac:dyDescent="0.2">
      <c r="A631" s="91">
        <v>698</v>
      </c>
      <c r="B631" s="229" t="s">
        <v>1583</v>
      </c>
      <c r="C631" s="263" t="s">
        <v>1584</v>
      </c>
      <c r="D631" s="229" t="s">
        <v>1585</v>
      </c>
      <c r="E631" s="3" t="s">
        <v>355</v>
      </c>
      <c r="F631" s="26" t="s">
        <v>70</v>
      </c>
      <c r="G631" s="26" t="s">
        <v>55</v>
      </c>
      <c r="H631" s="26" t="s">
        <v>406</v>
      </c>
      <c r="J631" s="22">
        <v>125</v>
      </c>
      <c r="L631" s="28" t="s">
        <v>57</v>
      </c>
      <c r="M631" s="22" t="s">
        <v>77</v>
      </c>
      <c r="N631" s="22">
        <v>0</v>
      </c>
      <c r="O631" s="22" t="s">
        <v>59</v>
      </c>
      <c r="P631" s="22" t="s">
        <v>78</v>
      </c>
      <c r="Q631" s="23" t="s">
        <v>1160</v>
      </c>
      <c r="R631" s="23" t="s">
        <v>1913</v>
      </c>
      <c r="S631" s="24">
        <v>30</v>
      </c>
      <c r="V631" s="25" t="s">
        <v>613</v>
      </c>
      <c r="W631" s="65" t="s">
        <v>1914</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1915</v>
      </c>
    </row>
    <row r="632" spans="1:70" ht="12.75" customHeight="1" x14ac:dyDescent="0.2">
      <c r="A632" s="91">
        <v>699</v>
      </c>
      <c r="B632" s="229" t="s">
        <v>1955</v>
      </c>
      <c r="C632" s="259" t="s">
        <v>1956</v>
      </c>
      <c r="D632" s="229" t="s">
        <v>1957</v>
      </c>
      <c r="E632" s="3" t="s">
        <v>1958</v>
      </c>
      <c r="F632" s="26" t="s">
        <v>102</v>
      </c>
      <c r="G632" s="26" t="s">
        <v>55</v>
      </c>
      <c r="H632" s="26" t="s">
        <v>56</v>
      </c>
      <c r="J632" s="22">
        <v>0.5</v>
      </c>
      <c r="L632" s="28" t="s">
        <v>57</v>
      </c>
      <c r="M632" s="22" t="s">
        <v>58</v>
      </c>
      <c r="N632" s="22">
        <v>0</v>
      </c>
      <c r="O632" s="22" t="s">
        <v>59</v>
      </c>
      <c r="P632" s="22" t="s">
        <v>78</v>
      </c>
      <c r="T632" s="23" t="s">
        <v>1959</v>
      </c>
      <c r="V632" s="25" t="s">
        <v>61</v>
      </c>
      <c r="W632" s="65" t="s">
        <v>1960</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1961</v>
      </c>
      <c r="C633" s="259" t="s">
        <v>1962</v>
      </c>
      <c r="D633" s="229" t="s">
        <v>1963</v>
      </c>
      <c r="E633" s="3" t="s">
        <v>1958</v>
      </c>
      <c r="F633" s="26" t="s">
        <v>102</v>
      </c>
      <c r="G633" s="26" t="s">
        <v>55</v>
      </c>
      <c r="H633" s="26" t="s">
        <v>56</v>
      </c>
      <c r="J633" s="22">
        <v>0.5</v>
      </c>
      <c r="L633" s="28" t="s">
        <v>57</v>
      </c>
      <c r="M633" s="22" t="s">
        <v>58</v>
      </c>
      <c r="N633" s="22">
        <v>0</v>
      </c>
      <c r="O633" s="22" t="s">
        <v>59</v>
      </c>
      <c r="P633" s="22" t="s">
        <v>78</v>
      </c>
      <c r="R633" s="23" t="s">
        <v>1964</v>
      </c>
      <c r="T633" s="23" t="s">
        <v>1959</v>
      </c>
      <c r="V633" s="25" t="s">
        <v>61</v>
      </c>
      <c r="W633" s="65" t="s">
        <v>1960</v>
      </c>
      <c r="X633" s="106">
        <v>3</v>
      </c>
      <c r="Z633" s="83" t="s">
        <v>62</v>
      </c>
      <c r="AA633" s="6">
        <v>19</v>
      </c>
      <c r="AD633" s="5" t="s">
        <v>79</v>
      </c>
      <c r="AI633" s="5">
        <v>20</v>
      </c>
      <c r="AJ633" s="5">
        <v>45</v>
      </c>
      <c r="BQ633" s="6" t="s">
        <v>120</v>
      </c>
    </row>
    <row r="634" spans="1:70" ht="12.75" customHeight="1" x14ac:dyDescent="0.2">
      <c r="A634" s="91">
        <v>701</v>
      </c>
      <c r="B634" s="229" t="s">
        <v>1965</v>
      </c>
      <c r="C634" s="259" t="s">
        <v>1966</v>
      </c>
      <c r="D634" s="229" t="s">
        <v>1967</v>
      </c>
      <c r="E634" s="3" t="s">
        <v>1958</v>
      </c>
      <c r="F634" s="26" t="s">
        <v>102</v>
      </c>
      <c r="G634" s="26" t="s">
        <v>55</v>
      </c>
      <c r="H634" s="26" t="s">
        <v>56</v>
      </c>
      <c r="J634" s="22">
        <v>0.125</v>
      </c>
      <c r="L634" s="28" t="s">
        <v>57</v>
      </c>
      <c r="M634" s="22" t="s">
        <v>58</v>
      </c>
      <c r="N634" s="22">
        <v>0</v>
      </c>
      <c r="O634" s="22" t="s">
        <v>59</v>
      </c>
      <c r="P634" s="22" t="s">
        <v>78</v>
      </c>
      <c r="T634" s="23" t="s">
        <v>1959</v>
      </c>
      <c r="Y634" s="25" t="s">
        <v>1968</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1965</v>
      </c>
      <c r="C635" s="259" t="s">
        <v>1966</v>
      </c>
      <c r="D635" s="229" t="s">
        <v>1969</v>
      </c>
      <c r="E635" s="3" t="s">
        <v>1958</v>
      </c>
      <c r="F635" s="26" t="s">
        <v>102</v>
      </c>
      <c r="G635" s="26" t="s">
        <v>55</v>
      </c>
      <c r="H635" s="26" t="s">
        <v>56</v>
      </c>
      <c r="J635" s="22">
        <v>0.25</v>
      </c>
      <c r="L635" s="28" t="s">
        <v>57</v>
      </c>
      <c r="M635" s="22" t="s">
        <v>58</v>
      </c>
      <c r="N635" s="22">
        <v>0</v>
      </c>
      <c r="O635" s="22" t="s">
        <v>59</v>
      </c>
      <c r="P635" s="22" t="s">
        <v>78</v>
      </c>
      <c r="T635" s="23" t="s">
        <v>1959</v>
      </c>
      <c r="Y635" s="25" t="s">
        <v>1968</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1970</v>
      </c>
      <c r="C636" s="259" t="s">
        <v>1971</v>
      </c>
      <c r="D636" s="229" t="s">
        <v>1972</v>
      </c>
      <c r="E636" s="3" t="s">
        <v>1958</v>
      </c>
      <c r="F636" s="26" t="s">
        <v>102</v>
      </c>
      <c r="G636" s="26" t="s">
        <v>55</v>
      </c>
      <c r="H636" s="26" t="s">
        <v>56</v>
      </c>
      <c r="J636" s="22">
        <v>0.25</v>
      </c>
      <c r="L636" s="28" t="s">
        <v>57</v>
      </c>
      <c r="M636" s="22" t="s">
        <v>58</v>
      </c>
      <c r="N636" s="22">
        <v>0</v>
      </c>
      <c r="O636" s="22" t="s">
        <v>59</v>
      </c>
      <c r="P636" s="22" t="s">
        <v>78</v>
      </c>
      <c r="T636" s="23" t="s">
        <v>1959</v>
      </c>
      <c r="U636" s="23" t="s">
        <v>1973</v>
      </c>
      <c r="X636" s="106">
        <v>3</v>
      </c>
      <c r="Y636" s="25" t="s">
        <v>1968</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2172</v>
      </c>
      <c r="C637" s="263" t="s">
        <v>1974</v>
      </c>
      <c r="D637" s="229" t="s">
        <v>1975</v>
      </c>
      <c r="E637" s="3" t="s">
        <v>1958</v>
      </c>
      <c r="F637" s="26" t="s">
        <v>102</v>
      </c>
      <c r="G637" s="26" t="s">
        <v>55</v>
      </c>
      <c r="H637" s="26" t="s">
        <v>65</v>
      </c>
      <c r="J637" s="22">
        <v>0.125</v>
      </c>
      <c r="L637" s="28" t="s">
        <v>57</v>
      </c>
      <c r="M637" s="22" t="s">
        <v>58</v>
      </c>
      <c r="N637" s="22">
        <v>0</v>
      </c>
      <c r="O637" s="22" t="s">
        <v>59</v>
      </c>
      <c r="P637" s="22" t="s">
        <v>78</v>
      </c>
      <c r="R637" s="23" t="s">
        <v>2400</v>
      </c>
      <c r="U637" s="23" t="s">
        <v>1976</v>
      </c>
      <c r="V637" s="25" t="s">
        <v>435</v>
      </c>
      <c r="X637" s="106" t="s">
        <v>202</v>
      </c>
      <c r="Y637" s="25" t="s">
        <v>516</v>
      </c>
      <c r="Z637" s="83" t="s">
        <v>62</v>
      </c>
      <c r="AA637" s="6">
        <v>12</v>
      </c>
      <c r="AB637" s="6">
        <v>6</v>
      </c>
      <c r="AD637" s="5" t="s">
        <v>79</v>
      </c>
      <c r="AI637" s="5">
        <v>21</v>
      </c>
      <c r="AJ637" s="5">
        <v>39</v>
      </c>
      <c r="BQ637" s="6" t="s">
        <v>213</v>
      </c>
      <c r="BR637" s="5" t="s">
        <v>2402</v>
      </c>
    </row>
    <row r="638" spans="1:70" ht="12.75" customHeight="1" x14ac:dyDescent="0.2">
      <c r="A638" s="91">
        <v>705</v>
      </c>
      <c r="B638" s="229" t="s">
        <v>1977</v>
      </c>
      <c r="C638" s="259" t="s">
        <v>1978</v>
      </c>
      <c r="D638" s="229" t="s">
        <v>1979</v>
      </c>
      <c r="E638" s="3" t="s">
        <v>1958</v>
      </c>
      <c r="F638" s="26" t="s">
        <v>102</v>
      </c>
      <c r="G638" s="26" t="s">
        <v>55</v>
      </c>
      <c r="H638" s="26" t="s">
        <v>56</v>
      </c>
      <c r="J638" s="22">
        <v>0.25</v>
      </c>
      <c r="L638" s="28" t="s">
        <v>57</v>
      </c>
      <c r="M638" s="22" t="s">
        <v>58</v>
      </c>
      <c r="N638" s="22">
        <v>0</v>
      </c>
      <c r="O638" s="22" t="s">
        <v>59</v>
      </c>
      <c r="P638" s="22" t="s">
        <v>78</v>
      </c>
      <c r="T638" s="23">
        <v>240</v>
      </c>
      <c r="U638" s="23" t="s">
        <v>1980</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1977</v>
      </c>
      <c r="C639" s="259" t="s">
        <v>1978</v>
      </c>
      <c r="D639" s="229" t="s">
        <v>1982</v>
      </c>
      <c r="E639" s="3" t="s">
        <v>1958</v>
      </c>
      <c r="F639" s="26" t="s">
        <v>102</v>
      </c>
      <c r="G639" s="26" t="s">
        <v>55</v>
      </c>
      <c r="H639" s="26" t="s">
        <v>56</v>
      </c>
      <c r="J639" s="22">
        <v>0.25</v>
      </c>
      <c r="L639" s="28" t="s">
        <v>57</v>
      </c>
      <c r="M639" s="22" t="s">
        <v>58</v>
      </c>
      <c r="N639" s="22">
        <v>0</v>
      </c>
      <c r="O639" s="22" t="s">
        <v>59</v>
      </c>
      <c r="P639" s="22" t="s">
        <v>78</v>
      </c>
      <c r="T639" s="23">
        <v>240</v>
      </c>
      <c r="U639" s="23" t="s">
        <v>1980</v>
      </c>
      <c r="X639" s="106">
        <v>3</v>
      </c>
      <c r="Y639" s="25" t="s">
        <v>1981</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1983</v>
      </c>
      <c r="C640" s="259" t="s">
        <v>1984</v>
      </c>
      <c r="D640" s="229" t="s">
        <v>1985</v>
      </c>
      <c r="E640" s="3" t="s">
        <v>1958</v>
      </c>
      <c r="F640" s="26" t="s">
        <v>102</v>
      </c>
      <c r="G640" s="26" t="s">
        <v>55</v>
      </c>
      <c r="H640" s="26" t="s">
        <v>56</v>
      </c>
      <c r="J640" s="22">
        <v>0.25</v>
      </c>
      <c r="L640" s="28" t="s">
        <v>57</v>
      </c>
      <c r="M640" s="22" t="s">
        <v>58</v>
      </c>
      <c r="N640" s="22">
        <v>0</v>
      </c>
      <c r="O640" s="22" t="s">
        <v>59</v>
      </c>
      <c r="P640" s="22" t="s">
        <v>78</v>
      </c>
      <c r="T640" s="23">
        <v>240</v>
      </c>
      <c r="U640" s="23" t="s">
        <v>1980</v>
      </c>
      <c r="X640" s="106">
        <v>3</v>
      </c>
      <c r="Y640" s="25" t="s">
        <v>1981</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1983</v>
      </c>
      <c r="C641" s="259" t="s">
        <v>1984</v>
      </c>
      <c r="D641" s="229" t="s">
        <v>1986</v>
      </c>
      <c r="E641" s="3" t="s">
        <v>1958</v>
      </c>
      <c r="F641" s="26" t="s">
        <v>102</v>
      </c>
      <c r="G641" s="26" t="s">
        <v>55</v>
      </c>
      <c r="H641" s="26" t="s">
        <v>56</v>
      </c>
      <c r="J641" s="22">
        <v>0.25</v>
      </c>
      <c r="L641" s="28" t="s">
        <v>57</v>
      </c>
      <c r="M641" s="22" t="s">
        <v>58</v>
      </c>
      <c r="N641" s="22">
        <v>0</v>
      </c>
      <c r="O641" s="22" t="s">
        <v>59</v>
      </c>
      <c r="P641" s="22" t="s">
        <v>78</v>
      </c>
      <c r="T641" s="23">
        <v>240</v>
      </c>
      <c r="U641" s="23" t="s">
        <v>1980</v>
      </c>
      <c r="X641" s="106">
        <v>3</v>
      </c>
      <c r="Y641" s="25" t="s">
        <v>1981</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1987</v>
      </c>
      <c r="C642" s="259" t="s">
        <v>1988</v>
      </c>
      <c r="D642" s="229" t="s">
        <v>1989</v>
      </c>
      <c r="E642" s="3" t="s">
        <v>1958</v>
      </c>
      <c r="F642" s="26" t="s">
        <v>102</v>
      </c>
      <c r="G642" s="26" t="s">
        <v>55</v>
      </c>
      <c r="H642" s="26" t="s">
        <v>65</v>
      </c>
      <c r="J642" s="22">
        <v>0.25</v>
      </c>
      <c r="L642" s="28" t="s">
        <v>57</v>
      </c>
      <c r="M642" s="22" t="s">
        <v>58</v>
      </c>
      <c r="N642" s="22">
        <v>0</v>
      </c>
      <c r="O642" s="22" t="s">
        <v>59</v>
      </c>
      <c r="P642" s="22" t="s">
        <v>78</v>
      </c>
      <c r="R642" s="23" t="s">
        <v>1964</v>
      </c>
      <c r="T642" s="23">
        <v>250</v>
      </c>
      <c r="V642" s="25" t="s">
        <v>61</v>
      </c>
      <c r="W642" s="65">
        <v>5</v>
      </c>
      <c r="X642" s="106">
        <v>4</v>
      </c>
      <c r="Y642" s="25" t="s">
        <v>1990</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1991</v>
      </c>
      <c r="C643" s="259" t="s">
        <v>1992</v>
      </c>
      <c r="D643" s="229" t="s">
        <v>1993</v>
      </c>
      <c r="E643" s="3" t="s">
        <v>1958</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1994</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1991</v>
      </c>
      <c r="C644" s="259" t="s">
        <v>1992</v>
      </c>
      <c r="D644" s="229" t="s">
        <v>1995</v>
      </c>
      <c r="E644" s="3" t="s">
        <v>1958</v>
      </c>
      <c r="F644" s="26" t="s">
        <v>102</v>
      </c>
      <c r="G644" s="26" t="s">
        <v>55</v>
      </c>
      <c r="H644" s="26" t="s">
        <v>56</v>
      </c>
      <c r="J644" s="22">
        <v>0.25</v>
      </c>
      <c r="L644" s="28" t="s">
        <v>57</v>
      </c>
      <c r="M644" s="22" t="s">
        <v>58</v>
      </c>
      <c r="N644" s="22">
        <v>0</v>
      </c>
      <c r="O644" s="22" t="s">
        <v>59</v>
      </c>
      <c r="P644" s="22" t="s">
        <v>78</v>
      </c>
      <c r="R644" s="23" t="s">
        <v>1964</v>
      </c>
      <c r="T644" s="23">
        <v>120</v>
      </c>
      <c r="V644" s="25" t="s">
        <v>61</v>
      </c>
      <c r="W644" s="65">
        <v>10</v>
      </c>
      <c r="X644" s="106">
        <v>4</v>
      </c>
      <c r="Y644" s="25" t="s">
        <v>1994</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1996</v>
      </c>
      <c r="C645" s="259" t="s">
        <v>1997</v>
      </c>
      <c r="D645" s="229" t="s">
        <v>1998</v>
      </c>
      <c r="E645" s="3" t="s">
        <v>1958</v>
      </c>
      <c r="F645" s="26" t="s">
        <v>102</v>
      </c>
      <c r="G645" s="26" t="s">
        <v>55</v>
      </c>
      <c r="H645" s="26" t="s">
        <v>56</v>
      </c>
      <c r="J645" s="22">
        <v>0.25</v>
      </c>
      <c r="L645" s="28" t="s">
        <v>57</v>
      </c>
      <c r="M645" s="22" t="s">
        <v>58</v>
      </c>
      <c r="N645" s="22">
        <v>0</v>
      </c>
      <c r="O645" s="22" t="s">
        <v>59</v>
      </c>
      <c r="P645" s="22" t="s">
        <v>78</v>
      </c>
      <c r="R645" s="23" t="s">
        <v>1964</v>
      </c>
      <c r="T645" s="23">
        <v>200</v>
      </c>
      <c r="V645" s="25" t="s">
        <v>61</v>
      </c>
      <c r="W645" s="65" t="s">
        <v>1960</v>
      </c>
      <c r="X645" s="106">
        <v>3</v>
      </c>
      <c r="Y645" s="25" t="s">
        <v>1999</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2000</v>
      </c>
      <c r="C646" s="259" t="s">
        <v>2001</v>
      </c>
      <c r="D646" s="229" t="s">
        <v>2002</v>
      </c>
      <c r="E646" s="3" t="s">
        <v>1958</v>
      </c>
      <c r="F646" s="26" t="s">
        <v>102</v>
      </c>
      <c r="G646" s="26" t="s">
        <v>55</v>
      </c>
      <c r="H646" s="26" t="s">
        <v>429</v>
      </c>
      <c r="J646" s="22">
        <v>0.125</v>
      </c>
      <c r="L646" s="28" t="s">
        <v>57</v>
      </c>
      <c r="M646" s="22" t="s">
        <v>58</v>
      </c>
      <c r="N646" s="22">
        <v>0</v>
      </c>
      <c r="O646" s="22" t="s">
        <v>59</v>
      </c>
      <c r="P646" s="22" t="s">
        <v>78</v>
      </c>
      <c r="U646" s="23" t="s">
        <v>2003</v>
      </c>
      <c r="Z646" s="83" t="s">
        <v>62</v>
      </c>
      <c r="AA646" s="6">
        <v>9</v>
      </c>
      <c r="AB646" s="6">
        <v>2</v>
      </c>
      <c r="AD646" s="5" t="s">
        <v>79</v>
      </c>
      <c r="AI646" s="5">
        <v>23</v>
      </c>
      <c r="AJ646" s="5">
        <v>72</v>
      </c>
      <c r="BQ646" s="6" t="s">
        <v>120</v>
      </c>
    </row>
    <row r="647" spans="1:69" ht="12.75" customHeight="1" x14ac:dyDescent="0.2">
      <c r="A647" s="91">
        <v>714</v>
      </c>
      <c r="B647" s="229" t="s">
        <v>2004</v>
      </c>
      <c r="C647" s="259" t="s">
        <v>2005</v>
      </c>
      <c r="D647" s="229" t="s">
        <v>2006</v>
      </c>
      <c r="E647" s="3" t="s">
        <v>1958</v>
      </c>
      <c r="F647" s="26" t="s">
        <v>102</v>
      </c>
      <c r="G647" s="26" t="s">
        <v>55</v>
      </c>
      <c r="H647" s="26" t="s">
        <v>534</v>
      </c>
      <c r="J647" s="22">
        <v>0.25</v>
      </c>
      <c r="L647" s="28" t="s">
        <v>57</v>
      </c>
      <c r="M647" s="22" t="s">
        <v>58</v>
      </c>
      <c r="N647" s="22">
        <v>0</v>
      </c>
      <c r="O647" s="22" t="s">
        <v>59</v>
      </c>
      <c r="P647" s="22" t="s">
        <v>78</v>
      </c>
      <c r="R647" s="23" t="s">
        <v>1964</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2007</v>
      </c>
      <c r="C648" s="259" t="s">
        <v>2008</v>
      </c>
      <c r="D648" s="229" t="s">
        <v>1963</v>
      </c>
      <c r="E648" s="3" t="s">
        <v>1958</v>
      </c>
      <c r="F648" s="26" t="s">
        <v>102</v>
      </c>
      <c r="G648" s="26" t="s">
        <v>55</v>
      </c>
      <c r="H648" s="26" t="s">
        <v>56</v>
      </c>
      <c r="J648" s="22">
        <v>0.5</v>
      </c>
      <c r="L648" s="28" t="s">
        <v>57</v>
      </c>
      <c r="M648" s="22" t="s">
        <v>58</v>
      </c>
      <c r="N648" s="22">
        <v>0</v>
      </c>
      <c r="O648" s="22" t="s">
        <v>59</v>
      </c>
      <c r="P648" s="22" t="s">
        <v>78</v>
      </c>
      <c r="T648" s="23" t="s">
        <v>1959</v>
      </c>
      <c r="V648" s="25" t="s">
        <v>61</v>
      </c>
      <c r="W648" s="65" t="s">
        <v>1960</v>
      </c>
      <c r="Z648" s="83" t="s">
        <v>62</v>
      </c>
      <c r="AA648" s="6">
        <v>5</v>
      </c>
      <c r="AB648" s="6">
        <v>2</v>
      </c>
      <c r="AD648" s="5" t="s">
        <v>79</v>
      </c>
      <c r="AI648" s="5">
        <v>22</v>
      </c>
      <c r="AJ648" s="5">
        <v>28</v>
      </c>
      <c r="BQ648" s="6" t="s">
        <v>120</v>
      </c>
    </row>
    <row r="649" spans="1:69" ht="12.75" customHeight="1" x14ac:dyDescent="0.2">
      <c r="A649" s="91">
        <v>716</v>
      </c>
      <c r="B649" s="229" t="s">
        <v>2009</v>
      </c>
      <c r="C649" s="263" t="s">
        <v>2010</v>
      </c>
      <c r="D649" s="229" t="s">
        <v>2011</v>
      </c>
      <c r="E649" s="3" t="s">
        <v>1958</v>
      </c>
      <c r="F649" s="26" t="s">
        <v>102</v>
      </c>
      <c r="G649" s="26" t="s">
        <v>55</v>
      </c>
      <c r="H649" s="26" t="s">
        <v>56</v>
      </c>
      <c r="J649" s="22">
        <v>0.5</v>
      </c>
      <c r="L649" s="28" t="s">
        <v>57</v>
      </c>
      <c r="M649" s="22" t="s">
        <v>58</v>
      </c>
      <c r="N649" s="22">
        <v>0</v>
      </c>
      <c r="O649" s="22" t="s">
        <v>59</v>
      </c>
      <c r="P649" s="22" t="s">
        <v>78</v>
      </c>
      <c r="R649" s="23" t="s">
        <v>1964</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2012</v>
      </c>
      <c r="C650" s="259" t="s">
        <v>2013</v>
      </c>
      <c r="D650" s="229" t="s">
        <v>2014</v>
      </c>
      <c r="E650" s="3" t="s">
        <v>1958</v>
      </c>
      <c r="F650" s="26" t="s">
        <v>102</v>
      </c>
      <c r="G650" s="26" t="s">
        <v>55</v>
      </c>
      <c r="H650" s="26" t="s">
        <v>56</v>
      </c>
      <c r="J650" s="22">
        <v>0.125</v>
      </c>
      <c r="L650" s="28" t="s">
        <v>57</v>
      </c>
      <c r="M650" s="22" t="s">
        <v>77</v>
      </c>
      <c r="N650" s="22">
        <v>0</v>
      </c>
      <c r="O650" s="22" t="s">
        <v>59</v>
      </c>
      <c r="P650" s="22" t="s">
        <v>78</v>
      </c>
      <c r="S650" s="24">
        <v>1</v>
      </c>
      <c r="V650" s="25" t="s">
        <v>61</v>
      </c>
      <c r="W650" s="65" t="s">
        <v>1960</v>
      </c>
      <c r="Z650" s="83" t="s">
        <v>62</v>
      </c>
      <c r="AA650" s="6">
        <v>5</v>
      </c>
      <c r="BQ650" s="6" t="s">
        <v>120</v>
      </c>
    </row>
    <row r="651" spans="1:69" ht="12.75" customHeight="1" x14ac:dyDescent="0.2">
      <c r="A651" s="91">
        <v>718</v>
      </c>
      <c r="B651" s="229" t="s">
        <v>2012</v>
      </c>
      <c r="C651" s="259" t="s">
        <v>2013</v>
      </c>
      <c r="D651" s="229" t="s">
        <v>2015</v>
      </c>
      <c r="E651" s="3" t="s">
        <v>1958</v>
      </c>
      <c r="F651" s="26" t="s">
        <v>102</v>
      </c>
      <c r="G651" s="26" t="s">
        <v>55</v>
      </c>
      <c r="H651" s="26" t="s">
        <v>56</v>
      </c>
      <c r="J651" s="22">
        <v>0.25</v>
      </c>
      <c r="L651" s="28" t="s">
        <v>57</v>
      </c>
      <c r="M651" s="22" t="s">
        <v>77</v>
      </c>
      <c r="N651" s="22">
        <v>0</v>
      </c>
      <c r="O651" s="22" t="s">
        <v>59</v>
      </c>
      <c r="P651" s="22" t="s">
        <v>78</v>
      </c>
      <c r="S651" s="24">
        <v>1</v>
      </c>
      <c r="V651" s="25" t="s">
        <v>61</v>
      </c>
      <c r="W651" s="65" t="s">
        <v>1960</v>
      </c>
      <c r="Z651" s="83" t="s">
        <v>62</v>
      </c>
      <c r="AA651" s="6">
        <v>5</v>
      </c>
      <c r="BQ651" s="6" t="s">
        <v>120</v>
      </c>
    </row>
    <row r="652" spans="1:69" ht="12.75" customHeight="1" x14ac:dyDescent="0.2">
      <c r="A652" s="91">
        <v>719</v>
      </c>
      <c r="B652" s="229" t="s">
        <v>2012</v>
      </c>
      <c r="C652" s="259" t="s">
        <v>2013</v>
      </c>
      <c r="D652" s="229" t="s">
        <v>2016</v>
      </c>
      <c r="E652" s="3" t="s">
        <v>1958</v>
      </c>
      <c r="F652" s="26" t="s">
        <v>102</v>
      </c>
      <c r="G652" s="26" t="s">
        <v>55</v>
      </c>
      <c r="H652" s="26" t="s">
        <v>56</v>
      </c>
      <c r="J652" s="22">
        <v>0.5</v>
      </c>
      <c r="L652" s="28" t="s">
        <v>57</v>
      </c>
      <c r="M652" s="22" t="s">
        <v>77</v>
      </c>
      <c r="N652" s="22">
        <v>0</v>
      </c>
      <c r="O652" s="22" t="s">
        <v>59</v>
      </c>
      <c r="P652" s="22" t="s">
        <v>78</v>
      </c>
      <c r="S652" s="24">
        <v>1</v>
      </c>
      <c r="V652" s="25" t="s">
        <v>61</v>
      </c>
      <c r="W652" s="65" t="s">
        <v>1960</v>
      </c>
      <c r="Z652" s="83" t="s">
        <v>62</v>
      </c>
      <c r="AA652" s="6">
        <v>5</v>
      </c>
      <c r="BQ652" s="6" t="s">
        <v>120</v>
      </c>
    </row>
    <row r="653" spans="1:69" ht="12.75" customHeight="1" x14ac:dyDescent="0.2">
      <c r="A653" s="91">
        <v>720</v>
      </c>
      <c r="B653" s="229" t="s">
        <v>2012</v>
      </c>
      <c r="C653" s="259" t="s">
        <v>2013</v>
      </c>
      <c r="D653" s="229" t="s">
        <v>2017</v>
      </c>
      <c r="E653" s="3" t="s">
        <v>1958</v>
      </c>
      <c r="F653" s="26" t="s">
        <v>102</v>
      </c>
      <c r="G653" s="26" t="s">
        <v>55</v>
      </c>
      <c r="H653" s="26" t="s">
        <v>56</v>
      </c>
      <c r="J653" s="22">
        <v>0.75</v>
      </c>
      <c r="L653" s="28" t="s">
        <v>57</v>
      </c>
      <c r="M653" s="22" t="s">
        <v>77</v>
      </c>
      <c r="N653" s="22">
        <v>0</v>
      </c>
      <c r="O653" s="22" t="s">
        <v>59</v>
      </c>
      <c r="P653" s="22" t="s">
        <v>78</v>
      </c>
      <c r="S653" s="24">
        <v>1</v>
      </c>
      <c r="V653" s="25" t="s">
        <v>61</v>
      </c>
      <c r="W653" s="65" t="s">
        <v>1960</v>
      </c>
      <c r="Z653" s="83" t="s">
        <v>62</v>
      </c>
      <c r="AA653" s="6">
        <v>5</v>
      </c>
      <c r="BQ653" s="6" t="s">
        <v>120</v>
      </c>
    </row>
    <row r="654" spans="1:69" ht="12.75" customHeight="1" x14ac:dyDescent="0.2">
      <c r="A654" s="91">
        <v>721</v>
      </c>
      <c r="B654" s="229" t="s">
        <v>2012</v>
      </c>
      <c r="C654" s="259" t="s">
        <v>2013</v>
      </c>
      <c r="D654" s="229" t="s">
        <v>2018</v>
      </c>
      <c r="E654" s="3" t="s">
        <v>1958</v>
      </c>
      <c r="F654" s="26" t="s">
        <v>102</v>
      </c>
      <c r="G654" s="26" t="s">
        <v>55</v>
      </c>
      <c r="H654" s="26" t="s">
        <v>56</v>
      </c>
      <c r="J654" s="22">
        <v>1</v>
      </c>
      <c r="L654" s="28" t="s">
        <v>57</v>
      </c>
      <c r="M654" s="22" t="s">
        <v>77</v>
      </c>
      <c r="N654" s="22">
        <v>0</v>
      </c>
      <c r="O654" s="22" t="s">
        <v>59</v>
      </c>
      <c r="P654" s="22" t="s">
        <v>78</v>
      </c>
      <c r="S654" s="24">
        <v>1</v>
      </c>
      <c r="V654" s="25" t="s">
        <v>61</v>
      </c>
      <c r="W654" s="65" t="s">
        <v>1960</v>
      </c>
      <c r="Z654" s="83" t="s">
        <v>62</v>
      </c>
      <c r="AA654" s="6">
        <v>5</v>
      </c>
      <c r="BQ654" s="6" t="s">
        <v>120</v>
      </c>
    </row>
    <row r="655" spans="1:69" ht="12.75" customHeight="1" x14ac:dyDescent="0.2">
      <c r="A655" s="91">
        <v>723</v>
      </c>
      <c r="B655" s="229" t="s">
        <v>2023</v>
      </c>
      <c r="C655" s="259" t="s">
        <v>2024</v>
      </c>
      <c r="D655" s="229" t="s">
        <v>2021</v>
      </c>
      <c r="E655" s="3" t="s">
        <v>1958</v>
      </c>
      <c r="F655" s="26" t="s">
        <v>102</v>
      </c>
      <c r="G655" s="26" t="s">
        <v>55</v>
      </c>
      <c r="H655" s="26" t="s">
        <v>56</v>
      </c>
      <c r="J655" s="22">
        <v>0.25</v>
      </c>
      <c r="L655" s="28" t="s">
        <v>57</v>
      </c>
      <c r="M655" s="22" t="s">
        <v>58</v>
      </c>
      <c r="N655" s="22">
        <v>0</v>
      </c>
      <c r="O655" s="22" t="s">
        <v>59</v>
      </c>
      <c r="P655" s="22" t="s">
        <v>78</v>
      </c>
      <c r="R655" s="23" t="s">
        <v>1964</v>
      </c>
      <c r="T655" s="23">
        <v>150</v>
      </c>
      <c r="V655" s="25" t="s">
        <v>61</v>
      </c>
      <c r="W655" s="65">
        <v>3</v>
      </c>
      <c r="X655" s="106">
        <v>4</v>
      </c>
      <c r="Y655" s="25" t="s">
        <v>2022</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2025</v>
      </c>
      <c r="C656" s="259" t="s">
        <v>2026</v>
      </c>
      <c r="D656" s="229" t="s">
        <v>2021</v>
      </c>
      <c r="E656" s="3" t="s">
        <v>1958</v>
      </c>
      <c r="F656" s="26" t="s">
        <v>102</v>
      </c>
      <c r="G656" s="26" t="s">
        <v>55</v>
      </c>
      <c r="H656" s="26" t="s">
        <v>56</v>
      </c>
      <c r="J656" s="22">
        <v>0.25</v>
      </c>
      <c r="L656" s="28" t="s">
        <v>57</v>
      </c>
      <c r="M656" s="22" t="s">
        <v>58</v>
      </c>
      <c r="N656" s="22">
        <v>0</v>
      </c>
      <c r="O656" s="22" t="s">
        <v>59</v>
      </c>
      <c r="P656" s="22" t="s">
        <v>78</v>
      </c>
      <c r="R656" s="23" t="s">
        <v>1964</v>
      </c>
      <c r="T656" s="23">
        <v>150</v>
      </c>
      <c r="V656" s="25" t="s">
        <v>61</v>
      </c>
      <c r="W656" s="65">
        <v>3</v>
      </c>
      <c r="X656" s="106">
        <v>4</v>
      </c>
      <c r="Y656" s="25" t="s">
        <v>2022</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2027</v>
      </c>
      <c r="C657" s="259" t="s">
        <v>2028</v>
      </c>
      <c r="D657" s="229" t="s">
        <v>2021</v>
      </c>
      <c r="E657" s="3" t="s">
        <v>1958</v>
      </c>
      <c r="F657" s="26" t="s">
        <v>102</v>
      </c>
      <c r="G657" s="26" t="s">
        <v>55</v>
      </c>
      <c r="H657" s="26" t="s">
        <v>56</v>
      </c>
      <c r="J657" s="22">
        <v>0.25</v>
      </c>
      <c r="L657" s="28" t="s">
        <v>57</v>
      </c>
      <c r="M657" s="22" t="s">
        <v>58</v>
      </c>
      <c r="N657" s="22">
        <v>0</v>
      </c>
      <c r="O657" s="22" t="s">
        <v>59</v>
      </c>
      <c r="P657" s="22" t="s">
        <v>78</v>
      </c>
      <c r="R657" s="23" t="s">
        <v>1964</v>
      </c>
      <c r="T657" s="23">
        <v>150</v>
      </c>
      <c r="V657" s="25" t="s">
        <v>61</v>
      </c>
      <c r="W657" s="65">
        <v>3</v>
      </c>
      <c r="X657" s="106">
        <v>4</v>
      </c>
      <c r="Y657" s="25" t="s">
        <v>2022</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2029</v>
      </c>
      <c r="C658" s="259" t="s">
        <v>2030</v>
      </c>
      <c r="D658" s="229" t="s">
        <v>2021</v>
      </c>
      <c r="E658" s="3" t="s">
        <v>1958</v>
      </c>
      <c r="F658" s="26" t="s">
        <v>102</v>
      </c>
      <c r="G658" s="26" t="s">
        <v>55</v>
      </c>
      <c r="H658" s="26" t="s">
        <v>56</v>
      </c>
      <c r="J658" s="22">
        <v>0.5</v>
      </c>
      <c r="L658" s="28" t="s">
        <v>57</v>
      </c>
      <c r="M658" s="22" t="s">
        <v>58</v>
      </c>
      <c r="N658" s="22">
        <v>0</v>
      </c>
      <c r="O658" s="22" t="s">
        <v>59</v>
      </c>
      <c r="P658" s="22" t="s">
        <v>78</v>
      </c>
      <c r="R658" s="23" t="s">
        <v>1964</v>
      </c>
      <c r="T658" s="23">
        <v>150</v>
      </c>
      <c r="V658" s="25" t="s">
        <v>61</v>
      </c>
      <c r="W658" s="65">
        <v>2</v>
      </c>
      <c r="X658" s="106">
        <v>3</v>
      </c>
      <c r="Y658" s="25" t="s">
        <v>2031</v>
      </c>
      <c r="Z658" s="167" t="s">
        <v>62</v>
      </c>
      <c r="AA658" s="6">
        <v>10</v>
      </c>
      <c r="AB658" s="6">
        <v>4</v>
      </c>
      <c r="AD658" s="5" t="s">
        <v>79</v>
      </c>
      <c r="AI658" s="5">
        <v>19</v>
      </c>
      <c r="AJ658" s="5">
        <v>25</v>
      </c>
      <c r="AL658" s="6" t="s">
        <v>80</v>
      </c>
      <c r="AQ658" s="6">
        <v>53</v>
      </c>
      <c r="AR658" s="6">
        <v>90</v>
      </c>
      <c r="BQ658" s="6" t="s">
        <v>353</v>
      </c>
      <c r="BR658" s="5" t="s">
        <v>2269</v>
      </c>
    </row>
    <row r="659" spans="1:70" ht="12.75" customHeight="1" x14ac:dyDescent="0.2">
      <c r="A659" s="91">
        <v>727</v>
      </c>
      <c r="B659" s="229" t="s">
        <v>2032</v>
      </c>
      <c r="C659" s="259" t="s">
        <v>2033</v>
      </c>
      <c r="D659" s="229" t="s">
        <v>2021</v>
      </c>
      <c r="E659" s="3" t="s">
        <v>1958</v>
      </c>
      <c r="F659" s="26" t="s">
        <v>102</v>
      </c>
      <c r="G659" s="26" t="s">
        <v>55</v>
      </c>
      <c r="H659" s="26" t="s">
        <v>56</v>
      </c>
      <c r="J659" s="22">
        <v>0.5</v>
      </c>
      <c r="L659" s="28" t="s">
        <v>57</v>
      </c>
      <c r="M659" s="22" t="s">
        <v>58</v>
      </c>
      <c r="N659" s="22">
        <v>0</v>
      </c>
      <c r="O659" s="22" t="s">
        <v>59</v>
      </c>
      <c r="P659" s="22" t="s">
        <v>78</v>
      </c>
      <c r="R659" s="23" t="s">
        <v>1964</v>
      </c>
      <c r="T659" s="23">
        <v>150</v>
      </c>
      <c r="V659" s="25" t="s">
        <v>61</v>
      </c>
      <c r="W659" s="65" t="s">
        <v>1960</v>
      </c>
      <c r="X659" s="106">
        <v>3</v>
      </c>
      <c r="Y659" s="25" t="s">
        <v>2031</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2034</v>
      </c>
      <c r="C660" s="259" t="s">
        <v>2035</v>
      </c>
      <c r="D660" s="229" t="s">
        <v>2036</v>
      </c>
      <c r="E660" s="3" t="s">
        <v>2037</v>
      </c>
      <c r="F660" s="26" t="s">
        <v>102</v>
      </c>
      <c r="G660" s="26" t="s">
        <v>75</v>
      </c>
      <c r="H660" s="26" t="s">
        <v>167</v>
      </c>
      <c r="J660" s="22">
        <v>0.25</v>
      </c>
      <c r="L660" s="28" t="s">
        <v>57</v>
      </c>
      <c r="M660" s="22" t="s">
        <v>77</v>
      </c>
      <c r="N660" s="22">
        <v>0</v>
      </c>
      <c r="O660" s="22" t="s">
        <v>59</v>
      </c>
      <c r="P660" s="22" t="s">
        <v>78</v>
      </c>
      <c r="S660" s="24">
        <v>0</v>
      </c>
      <c r="U660" s="23" t="s">
        <v>2038</v>
      </c>
      <c r="V660" s="25" t="s">
        <v>61</v>
      </c>
      <c r="W660" s="65">
        <v>9</v>
      </c>
      <c r="X660" s="106">
        <v>6</v>
      </c>
      <c r="Z660" s="83" t="s">
        <v>62</v>
      </c>
      <c r="AA660" s="6">
        <v>1</v>
      </c>
      <c r="AB660" s="6">
        <v>0</v>
      </c>
      <c r="BQ660" s="6" t="s">
        <v>120</v>
      </c>
    </row>
    <row r="661" spans="1:70" x14ac:dyDescent="0.2">
      <c r="A661" s="91">
        <v>729</v>
      </c>
      <c r="B661" s="229" t="s">
        <v>2034</v>
      </c>
      <c r="C661" s="259" t="s">
        <v>2035</v>
      </c>
      <c r="D661" s="229" t="s">
        <v>2039</v>
      </c>
      <c r="E661" s="123" t="s">
        <v>2037</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2038</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2034</v>
      </c>
      <c r="C662" s="259" t="s">
        <v>2035</v>
      </c>
      <c r="D662" s="229" t="s">
        <v>2040</v>
      </c>
      <c r="E662" s="123" t="s">
        <v>2037</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2038</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2034</v>
      </c>
      <c r="C663" s="259" t="s">
        <v>2035</v>
      </c>
      <c r="D663" s="229" t="s">
        <v>2041</v>
      </c>
      <c r="E663" s="123" t="s">
        <v>2037</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2038</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2034</v>
      </c>
      <c r="C664" s="259" t="s">
        <v>2035</v>
      </c>
      <c r="D664" s="229" t="s">
        <v>2042</v>
      </c>
      <c r="E664" s="123" t="s">
        <v>2037</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2038</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2043</v>
      </c>
      <c r="C665" s="259" t="s">
        <v>2044</v>
      </c>
      <c r="D665" s="229" t="s">
        <v>2045</v>
      </c>
      <c r="E665" s="123" t="s">
        <v>2037</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2046</v>
      </c>
      <c r="C666" s="259" t="s">
        <v>2047</v>
      </c>
      <c r="D666" s="229" t="s">
        <v>2048</v>
      </c>
      <c r="E666" s="123" t="s">
        <v>2037</v>
      </c>
      <c r="F666" s="179" t="s">
        <v>102</v>
      </c>
      <c r="G666" s="179" t="s">
        <v>55</v>
      </c>
      <c r="H666" s="179" t="s">
        <v>56</v>
      </c>
      <c r="I666" s="179"/>
      <c r="J666" s="176">
        <v>1</v>
      </c>
      <c r="K666" s="180"/>
      <c r="L666" s="180" t="s">
        <v>57</v>
      </c>
      <c r="M666" s="176" t="s">
        <v>58</v>
      </c>
      <c r="N666" s="176">
        <v>0</v>
      </c>
      <c r="O666" s="176" t="s">
        <v>59</v>
      </c>
      <c r="P666" s="176" t="s">
        <v>78</v>
      </c>
      <c r="Q666" s="177"/>
      <c r="R666" s="177" t="s">
        <v>2049</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2050</v>
      </c>
      <c r="C667" s="259" t="s">
        <v>2051</v>
      </c>
      <c r="D667" s="229" t="s">
        <v>2052</v>
      </c>
      <c r="E667" s="123" t="s">
        <v>2037</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2053</v>
      </c>
      <c r="C668" s="259" t="s">
        <v>2054</v>
      </c>
      <c r="D668" s="229" t="s">
        <v>2055</v>
      </c>
      <c r="E668" s="123" t="s">
        <v>2037</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1960</v>
      </c>
      <c r="X668" s="106">
        <v>3</v>
      </c>
      <c r="Y668" s="165" t="s">
        <v>2056</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2057</v>
      </c>
      <c r="C669" s="259" t="s">
        <v>2058</v>
      </c>
      <c r="D669" s="229" t="s">
        <v>2055</v>
      </c>
      <c r="E669" s="3" t="s">
        <v>2037</v>
      </c>
      <c r="F669" s="26" t="s">
        <v>102</v>
      </c>
      <c r="G669" s="26" t="s">
        <v>55</v>
      </c>
      <c r="H669" s="26" t="s">
        <v>56</v>
      </c>
      <c r="J669" s="22">
        <v>1</v>
      </c>
      <c r="L669" s="28" t="s">
        <v>57</v>
      </c>
      <c r="M669" s="22" t="s">
        <v>58</v>
      </c>
      <c r="N669" s="22">
        <v>0</v>
      </c>
      <c r="O669" s="22" t="s">
        <v>59</v>
      </c>
      <c r="P669" s="22" t="s">
        <v>78</v>
      </c>
      <c r="T669" s="23" t="s">
        <v>1959</v>
      </c>
      <c r="V669" s="25" t="s">
        <v>61</v>
      </c>
      <c r="W669" s="65">
        <v>2</v>
      </c>
      <c r="X669" s="106">
        <v>3</v>
      </c>
      <c r="Y669" s="25" t="s">
        <v>2056</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2059</v>
      </c>
      <c r="C670" s="259" t="s">
        <v>2060</v>
      </c>
      <c r="D670" s="229" t="s">
        <v>2061</v>
      </c>
      <c r="E670" s="3" t="s">
        <v>2037</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2062</v>
      </c>
      <c r="Z670" s="83" t="s">
        <v>62</v>
      </c>
      <c r="AA670" s="6">
        <v>11</v>
      </c>
      <c r="AB670" s="6">
        <v>11</v>
      </c>
      <c r="AD670" s="5" t="s">
        <v>79</v>
      </c>
      <c r="AI670" s="5">
        <v>18</v>
      </c>
      <c r="AJ670" s="5">
        <v>37</v>
      </c>
      <c r="BQ670" s="6" t="s">
        <v>120</v>
      </c>
    </row>
    <row r="671" spans="1:70" ht="12.75" customHeight="1" x14ac:dyDescent="0.2">
      <c r="A671" s="91">
        <v>739</v>
      </c>
      <c r="B671" s="229" t="s">
        <v>2063</v>
      </c>
      <c r="C671" s="259" t="s">
        <v>2064</v>
      </c>
      <c r="D671" s="229" t="s">
        <v>2065</v>
      </c>
      <c r="E671" s="3" t="s">
        <v>2037</v>
      </c>
      <c r="F671" s="179" t="s">
        <v>102</v>
      </c>
      <c r="G671" s="26" t="s">
        <v>55</v>
      </c>
      <c r="H671" s="26" t="s">
        <v>65</v>
      </c>
      <c r="J671" s="22">
        <v>1</v>
      </c>
      <c r="L671" s="28" t="s">
        <v>57</v>
      </c>
      <c r="M671" s="22" t="s">
        <v>58</v>
      </c>
      <c r="N671" s="22">
        <v>0</v>
      </c>
      <c r="O671" s="22" t="s">
        <v>59</v>
      </c>
      <c r="P671" s="22" t="s">
        <v>78</v>
      </c>
      <c r="U671" s="23" t="s">
        <v>1976</v>
      </c>
      <c r="V671" s="25" t="s">
        <v>61</v>
      </c>
      <c r="W671" s="65">
        <v>1.5</v>
      </c>
      <c r="X671" s="106">
        <v>3</v>
      </c>
      <c r="Y671" s="25" t="s">
        <v>2066</v>
      </c>
      <c r="Z671" s="83" t="s">
        <v>62</v>
      </c>
      <c r="AA671" s="6">
        <v>7</v>
      </c>
      <c r="AB671" s="6">
        <v>0</v>
      </c>
      <c r="AD671" s="5" t="s">
        <v>79</v>
      </c>
      <c r="AI671" s="5">
        <v>21</v>
      </c>
      <c r="AJ671" s="5">
        <v>44</v>
      </c>
      <c r="BQ671" s="6" t="s">
        <v>120</v>
      </c>
    </row>
    <row r="672" spans="1:70" ht="12.75" customHeight="1" x14ac:dyDescent="0.2">
      <c r="A672" s="91">
        <v>740</v>
      </c>
      <c r="B672" s="229" t="s">
        <v>1977</v>
      </c>
      <c r="C672" s="259" t="s">
        <v>2067</v>
      </c>
      <c r="D672" s="229" t="s">
        <v>1963</v>
      </c>
      <c r="E672" s="3" t="s">
        <v>2037</v>
      </c>
      <c r="F672" s="179" t="s">
        <v>102</v>
      </c>
      <c r="G672" s="26" t="s">
        <v>55</v>
      </c>
      <c r="H672" s="26" t="s">
        <v>65</v>
      </c>
      <c r="J672" s="22">
        <v>1</v>
      </c>
      <c r="L672" s="28" t="s">
        <v>57</v>
      </c>
      <c r="M672" s="22" t="s">
        <v>58</v>
      </c>
      <c r="N672" s="22">
        <v>0</v>
      </c>
      <c r="O672" s="22" t="s">
        <v>59</v>
      </c>
      <c r="P672" s="22" t="s">
        <v>78</v>
      </c>
      <c r="V672" s="25" t="s">
        <v>61</v>
      </c>
      <c r="W672" s="65">
        <v>1</v>
      </c>
      <c r="X672" s="106">
        <v>3.5</v>
      </c>
      <c r="Y672" s="25" t="s">
        <v>2062</v>
      </c>
      <c r="Z672" s="83" t="s">
        <v>62</v>
      </c>
      <c r="AA672" s="6">
        <v>8</v>
      </c>
      <c r="AB672" s="6">
        <v>1</v>
      </c>
      <c r="AD672" s="5" t="s">
        <v>79</v>
      </c>
      <c r="AI672" s="5">
        <v>21</v>
      </c>
      <c r="AJ672" s="5">
        <v>44</v>
      </c>
      <c r="BQ672" s="6" t="s">
        <v>120</v>
      </c>
    </row>
    <row r="673" spans="1:69" ht="12.75" customHeight="1" x14ac:dyDescent="0.2">
      <c r="A673" s="91">
        <v>741</v>
      </c>
      <c r="B673" s="229" t="s">
        <v>2068</v>
      </c>
      <c r="C673" s="259" t="s">
        <v>2069</v>
      </c>
      <c r="D673" s="229" t="s">
        <v>2070</v>
      </c>
      <c r="E673" s="3" t="s">
        <v>2037</v>
      </c>
      <c r="F673" s="179" t="s">
        <v>102</v>
      </c>
      <c r="G673" s="26" t="s">
        <v>55</v>
      </c>
      <c r="H673" s="26" t="s">
        <v>56</v>
      </c>
      <c r="J673" s="22">
        <v>1</v>
      </c>
      <c r="L673" s="28" t="s">
        <v>57</v>
      </c>
      <c r="M673" s="22" t="s">
        <v>58</v>
      </c>
      <c r="N673" s="22">
        <v>0</v>
      </c>
      <c r="O673" s="22" t="s">
        <v>59</v>
      </c>
      <c r="P673" s="22" t="s">
        <v>78</v>
      </c>
      <c r="V673" s="25" t="s">
        <v>61</v>
      </c>
      <c r="W673" s="65" t="s">
        <v>1960</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2071</v>
      </c>
      <c r="C674" s="259" t="s">
        <v>2072</v>
      </c>
      <c r="D674" s="229" t="s">
        <v>2073</v>
      </c>
      <c r="E674" s="3" t="s">
        <v>2037</v>
      </c>
      <c r="F674" s="26" t="s">
        <v>102</v>
      </c>
      <c r="G674" s="26" t="s">
        <v>55</v>
      </c>
      <c r="H674" s="26" t="s">
        <v>56</v>
      </c>
      <c r="J674" s="22">
        <v>1</v>
      </c>
      <c r="L674" s="28" t="s">
        <v>57</v>
      </c>
      <c r="M674" s="22" t="s">
        <v>58</v>
      </c>
      <c r="N674" s="22">
        <v>0</v>
      </c>
      <c r="O674" s="22" t="s">
        <v>59</v>
      </c>
      <c r="P674" s="22" t="s">
        <v>78</v>
      </c>
      <c r="T674" s="23">
        <v>250</v>
      </c>
      <c r="U674" s="23" t="s">
        <v>2074</v>
      </c>
      <c r="V674" s="165" t="s">
        <v>61</v>
      </c>
      <c r="W674" s="166">
        <v>1.5</v>
      </c>
      <c r="X674" s="106">
        <v>3</v>
      </c>
      <c r="Y674" s="165" t="s">
        <v>2056</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2075</v>
      </c>
      <c r="C675" s="259" t="s">
        <v>2076</v>
      </c>
      <c r="D675" s="229" t="s">
        <v>2077</v>
      </c>
      <c r="E675" s="3" t="s">
        <v>2037</v>
      </c>
      <c r="F675" s="26" t="s">
        <v>102</v>
      </c>
      <c r="G675" s="26" t="s">
        <v>55</v>
      </c>
      <c r="H675" s="26" t="s">
        <v>56</v>
      </c>
      <c r="J675" s="22">
        <v>1</v>
      </c>
      <c r="L675" s="28" t="s">
        <v>57</v>
      </c>
      <c r="M675" s="22" t="s">
        <v>58</v>
      </c>
      <c r="N675" s="22">
        <v>0</v>
      </c>
      <c r="O675" s="22" t="s">
        <v>59</v>
      </c>
      <c r="P675" s="22" t="s">
        <v>78</v>
      </c>
      <c r="T675" s="23">
        <v>120</v>
      </c>
      <c r="V675" s="25" t="s">
        <v>61</v>
      </c>
      <c r="W675" s="65" t="s">
        <v>1960</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2078</v>
      </c>
      <c r="C676" s="259" t="s">
        <v>2079</v>
      </c>
      <c r="D676" s="229" t="s">
        <v>2080</v>
      </c>
      <c r="E676" s="3" t="s">
        <v>2037</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2078</v>
      </c>
      <c r="C677" s="259" t="s">
        <v>2079</v>
      </c>
      <c r="D677" s="229" t="s">
        <v>2081</v>
      </c>
      <c r="E677" s="3" t="s">
        <v>2037</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2078</v>
      </c>
      <c r="C678" s="259" t="s">
        <v>2079</v>
      </c>
      <c r="D678" s="229" t="s">
        <v>2082</v>
      </c>
      <c r="E678" s="3" t="s">
        <v>2037</v>
      </c>
      <c r="F678" s="26" t="s">
        <v>102</v>
      </c>
      <c r="G678" s="26" t="s">
        <v>55</v>
      </c>
      <c r="H678" s="26" t="s">
        <v>534</v>
      </c>
      <c r="J678" s="22">
        <v>1.5760000000000001</v>
      </c>
      <c r="L678" s="28" t="s">
        <v>57</v>
      </c>
      <c r="M678" s="22" t="s">
        <v>77</v>
      </c>
      <c r="N678" s="22" t="s">
        <v>2083</v>
      </c>
      <c r="O678" s="22" t="s">
        <v>950</v>
      </c>
      <c r="P678" s="22" t="s">
        <v>78</v>
      </c>
      <c r="S678" s="24" t="s">
        <v>2084</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2085</v>
      </c>
      <c r="C679" s="259" t="s">
        <v>2086</v>
      </c>
      <c r="D679" s="229" t="s">
        <v>2087</v>
      </c>
      <c r="E679" s="3" t="s">
        <v>2037</v>
      </c>
      <c r="F679" s="26" t="s">
        <v>102</v>
      </c>
      <c r="G679" s="26" t="s">
        <v>55</v>
      </c>
      <c r="H679" s="26" t="s">
        <v>56</v>
      </c>
      <c r="J679" s="22">
        <v>0.5</v>
      </c>
      <c r="L679" s="28" t="s">
        <v>57</v>
      </c>
      <c r="M679" s="22" t="s">
        <v>77</v>
      </c>
      <c r="N679" s="22">
        <v>0</v>
      </c>
      <c r="O679" s="22" t="s">
        <v>59</v>
      </c>
      <c r="P679" s="22" t="s">
        <v>78</v>
      </c>
      <c r="S679" s="24">
        <v>1</v>
      </c>
      <c r="U679" s="23" t="s">
        <v>2088</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2089</v>
      </c>
    </row>
    <row r="680" spans="1:69" ht="12.75" customHeight="1" x14ac:dyDescent="0.2">
      <c r="A680" s="91">
        <v>748</v>
      </c>
      <c r="B680" s="229" t="s">
        <v>2085</v>
      </c>
      <c r="C680" s="259" t="s">
        <v>2086</v>
      </c>
      <c r="D680" s="229" t="s">
        <v>2090</v>
      </c>
      <c r="E680" s="3" t="s">
        <v>2037</v>
      </c>
      <c r="F680" s="26" t="s">
        <v>102</v>
      </c>
      <c r="G680" s="26" t="s">
        <v>55</v>
      </c>
      <c r="H680" s="26" t="s">
        <v>65</v>
      </c>
      <c r="J680" s="22">
        <v>0.5</v>
      </c>
      <c r="L680" s="28" t="s">
        <v>57</v>
      </c>
      <c r="M680" s="22" t="s">
        <v>58</v>
      </c>
      <c r="N680" s="22">
        <v>0</v>
      </c>
      <c r="O680" s="22" t="s">
        <v>59</v>
      </c>
      <c r="P680" s="22" t="s">
        <v>78</v>
      </c>
      <c r="R680" s="23" t="s">
        <v>2049</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2089</v>
      </c>
    </row>
    <row r="681" spans="1:69" x14ac:dyDescent="0.2">
      <c r="A681" s="91">
        <v>749</v>
      </c>
      <c r="B681" s="229" t="s">
        <v>2091</v>
      </c>
      <c r="C681" s="259" t="s">
        <v>2092</v>
      </c>
      <c r="D681" s="229" t="s">
        <v>2093</v>
      </c>
      <c r="E681" s="3" t="s">
        <v>2037</v>
      </c>
      <c r="F681" s="26" t="s">
        <v>102</v>
      </c>
      <c r="G681" s="26" t="s">
        <v>55</v>
      </c>
      <c r="H681" s="26" t="s">
        <v>56</v>
      </c>
      <c r="J681" s="22">
        <v>1</v>
      </c>
      <c r="L681" s="28" t="s">
        <v>57</v>
      </c>
      <c r="M681" s="22" t="s">
        <v>58</v>
      </c>
      <c r="N681" s="22">
        <v>0</v>
      </c>
      <c r="O681" s="22" t="s">
        <v>59</v>
      </c>
      <c r="P681" s="22" t="s">
        <v>78</v>
      </c>
      <c r="R681" s="23" t="s">
        <v>2094</v>
      </c>
      <c r="V681" s="25" t="s">
        <v>61</v>
      </c>
      <c r="W681" s="65" t="s">
        <v>1960</v>
      </c>
      <c r="X681" s="106">
        <v>4</v>
      </c>
      <c r="Z681" s="83" t="s">
        <v>62</v>
      </c>
      <c r="AA681" s="6">
        <v>9</v>
      </c>
      <c r="AD681" s="5" t="s">
        <v>79</v>
      </c>
      <c r="AI681" s="5">
        <v>22</v>
      </c>
      <c r="AJ681" s="5">
        <v>55</v>
      </c>
      <c r="BQ681" s="6" t="s">
        <v>194</v>
      </c>
    </row>
    <row r="682" spans="1:69" x14ac:dyDescent="0.2">
      <c r="A682" s="91">
        <v>750</v>
      </c>
      <c r="B682" s="229" t="s">
        <v>2095</v>
      </c>
      <c r="C682" s="259" t="s">
        <v>2096</v>
      </c>
      <c r="D682" s="229" t="s">
        <v>2097</v>
      </c>
      <c r="E682" s="3" t="s">
        <v>2037</v>
      </c>
      <c r="F682" s="26" t="s">
        <v>102</v>
      </c>
      <c r="G682" s="26" t="s">
        <v>55</v>
      </c>
      <c r="H682" s="26" t="s">
        <v>56</v>
      </c>
      <c r="J682" s="22">
        <v>0.5</v>
      </c>
      <c r="L682" s="28" t="s">
        <v>57</v>
      </c>
      <c r="M682" s="22" t="s">
        <v>58</v>
      </c>
      <c r="N682" s="22">
        <v>0</v>
      </c>
      <c r="O682" s="22" t="s">
        <v>59</v>
      </c>
      <c r="P682" s="22" t="s">
        <v>78</v>
      </c>
      <c r="R682" s="23" t="s">
        <v>2049</v>
      </c>
      <c r="T682" s="23">
        <v>60</v>
      </c>
      <c r="V682" s="25" t="s">
        <v>61</v>
      </c>
      <c r="W682" s="65" t="s">
        <v>1960</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2095</v>
      </c>
      <c r="C683" s="259" t="s">
        <v>2096</v>
      </c>
      <c r="D683" s="229" t="s">
        <v>2098</v>
      </c>
      <c r="E683" s="3" t="s">
        <v>2037</v>
      </c>
      <c r="F683" s="26" t="s">
        <v>102</v>
      </c>
      <c r="G683" s="26" t="s">
        <v>55</v>
      </c>
      <c r="H683" s="26" t="s">
        <v>56</v>
      </c>
      <c r="J683" s="22">
        <v>2</v>
      </c>
      <c r="L683" s="28" t="s">
        <v>57</v>
      </c>
      <c r="M683" s="22" t="s">
        <v>58</v>
      </c>
      <c r="N683" s="22">
        <v>0</v>
      </c>
      <c r="O683" s="22" t="s">
        <v>59</v>
      </c>
      <c r="P683" s="22" t="s">
        <v>78</v>
      </c>
      <c r="R683" s="23" t="s">
        <v>2049</v>
      </c>
      <c r="T683" s="23">
        <v>60</v>
      </c>
      <c r="V683" s="25" t="s">
        <v>61</v>
      </c>
      <c r="W683" s="65" t="s">
        <v>1960</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2099</v>
      </c>
      <c r="C684" s="259" t="s">
        <v>2100</v>
      </c>
      <c r="D684" s="229" t="s">
        <v>1993</v>
      </c>
      <c r="E684" s="3" t="s">
        <v>2037</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2099</v>
      </c>
      <c r="C685" s="259" t="s">
        <v>2100</v>
      </c>
      <c r="D685" s="229" t="s">
        <v>1995</v>
      </c>
      <c r="E685" s="3" t="s">
        <v>2037</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2101</v>
      </c>
      <c r="C686" s="259" t="s">
        <v>2102</v>
      </c>
      <c r="D686" s="229" t="s">
        <v>1957</v>
      </c>
      <c r="E686" s="3" t="s">
        <v>2037</v>
      </c>
      <c r="F686" s="26" t="s">
        <v>102</v>
      </c>
      <c r="G686" s="26" t="s">
        <v>55</v>
      </c>
      <c r="H686" s="26" t="s">
        <v>56</v>
      </c>
      <c r="J686" s="22">
        <v>1</v>
      </c>
      <c r="L686" s="28" t="s">
        <v>57</v>
      </c>
      <c r="M686" s="22" t="s">
        <v>58</v>
      </c>
      <c r="N686" s="22">
        <v>0</v>
      </c>
      <c r="O686" s="22" t="s">
        <v>59</v>
      </c>
      <c r="P686" s="22" t="s">
        <v>78</v>
      </c>
      <c r="R686" s="23" t="s">
        <v>2103</v>
      </c>
      <c r="V686" s="25" t="s">
        <v>61</v>
      </c>
      <c r="W686" s="65" t="s">
        <v>1960</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1866</v>
      </c>
    </row>
    <row r="687" spans="1:69" ht="12.75" customHeight="1" x14ac:dyDescent="0.2">
      <c r="A687" s="91">
        <v>755</v>
      </c>
      <c r="B687" s="229" t="s">
        <v>2104</v>
      </c>
      <c r="C687" s="259" t="s">
        <v>2105</v>
      </c>
      <c r="D687" s="229" t="s">
        <v>2037</v>
      </c>
      <c r="E687" s="3" t="s">
        <v>2037</v>
      </c>
      <c r="F687" s="26" t="s">
        <v>102</v>
      </c>
      <c r="G687" s="26" t="s">
        <v>55</v>
      </c>
      <c r="H687" s="26" t="s">
        <v>56</v>
      </c>
      <c r="J687" s="22">
        <v>1</v>
      </c>
      <c r="L687" s="28" t="s">
        <v>57</v>
      </c>
      <c r="M687" s="22" t="s">
        <v>77</v>
      </c>
      <c r="N687" s="22">
        <v>0</v>
      </c>
      <c r="O687" s="22" t="s">
        <v>59</v>
      </c>
      <c r="P687" s="22" t="s">
        <v>78</v>
      </c>
      <c r="S687" s="24">
        <v>30</v>
      </c>
      <c r="U687" s="23" t="s">
        <v>2106</v>
      </c>
      <c r="V687" s="25" t="s">
        <v>61</v>
      </c>
      <c r="W687" s="65">
        <v>2</v>
      </c>
      <c r="X687" s="106">
        <v>3</v>
      </c>
      <c r="Y687" s="25" t="s">
        <v>2107</v>
      </c>
      <c r="Z687" s="83" t="s">
        <v>62</v>
      </c>
      <c r="AA687" s="6">
        <v>9</v>
      </c>
      <c r="AB687" s="6">
        <v>0</v>
      </c>
      <c r="AC687" s="5">
        <v>29</v>
      </c>
      <c r="AD687" s="5" t="s">
        <v>79</v>
      </c>
      <c r="AE687" s="5" t="s">
        <v>115</v>
      </c>
      <c r="AI687" s="5">
        <v>20</v>
      </c>
      <c r="AJ687" s="5">
        <v>40</v>
      </c>
      <c r="AK687" s="6">
        <v>80</v>
      </c>
      <c r="AL687" s="6" t="s">
        <v>80</v>
      </c>
      <c r="AM687" s="6" t="s">
        <v>115</v>
      </c>
      <c r="BQ687" s="6" t="s">
        <v>2089</v>
      </c>
    </row>
    <row r="688" spans="1:69" ht="12.75" customHeight="1" x14ac:dyDescent="0.2">
      <c r="A688" s="91">
        <v>756</v>
      </c>
      <c r="B688" s="229" t="s">
        <v>2108</v>
      </c>
      <c r="C688" s="259" t="s">
        <v>2109</v>
      </c>
      <c r="D688" s="229" t="s">
        <v>2110</v>
      </c>
      <c r="E688" s="3" t="s">
        <v>2037</v>
      </c>
      <c r="F688" s="26" t="s">
        <v>70</v>
      </c>
      <c r="G688" s="26" t="s">
        <v>55</v>
      </c>
      <c r="H688" s="26" t="s">
        <v>1951</v>
      </c>
      <c r="J688" s="22">
        <v>2</v>
      </c>
      <c r="L688" s="28" t="s">
        <v>57</v>
      </c>
      <c r="M688" s="22" t="s">
        <v>58</v>
      </c>
      <c r="N688" s="22">
        <v>0</v>
      </c>
      <c r="O688" s="22" t="s">
        <v>59</v>
      </c>
      <c r="P688" s="22" t="s">
        <v>78</v>
      </c>
      <c r="Q688" s="23" t="s">
        <v>2110</v>
      </c>
      <c r="Z688" s="83" t="s">
        <v>62</v>
      </c>
      <c r="AA688" s="6">
        <v>6</v>
      </c>
      <c r="AB688" s="6">
        <v>0</v>
      </c>
      <c r="BQ688" s="6" t="s">
        <v>120</v>
      </c>
    </row>
    <row r="689" spans="1:70" ht="12.75" customHeight="1" x14ac:dyDescent="0.2">
      <c r="A689" s="91">
        <v>757</v>
      </c>
      <c r="B689" s="229" t="s">
        <v>2009</v>
      </c>
      <c r="C689" s="263" t="s">
        <v>2010</v>
      </c>
      <c r="D689" s="229" t="s">
        <v>2111</v>
      </c>
      <c r="E689" s="3" t="s">
        <v>1958</v>
      </c>
      <c r="F689" s="26" t="s">
        <v>102</v>
      </c>
      <c r="G689" s="26" t="s">
        <v>55</v>
      </c>
      <c r="H689" s="26" t="s">
        <v>56</v>
      </c>
      <c r="J689" s="22">
        <v>0.5</v>
      </c>
      <c r="L689" s="28" t="s">
        <v>57</v>
      </c>
      <c r="M689" s="22" t="s">
        <v>58</v>
      </c>
      <c r="N689" s="22">
        <v>64</v>
      </c>
      <c r="O689" s="22" t="s">
        <v>59</v>
      </c>
      <c r="P689" s="22" t="s">
        <v>78</v>
      </c>
      <c r="R689" s="23" t="s">
        <v>1964</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2113</v>
      </c>
      <c r="C690" s="259" t="s">
        <v>2114</v>
      </c>
      <c r="D690" s="229" t="s">
        <v>2115</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2113</v>
      </c>
      <c r="C691" s="259" t="s">
        <v>2114</v>
      </c>
      <c r="D691" s="229" t="s">
        <v>2116</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2117</v>
      </c>
      <c r="C692" s="259" t="s">
        <v>2118</v>
      </c>
      <c r="D692" s="229" t="s">
        <v>2119</v>
      </c>
      <c r="E692" s="3" t="s">
        <v>338</v>
      </c>
      <c r="F692" s="26" t="s">
        <v>102</v>
      </c>
      <c r="G692" s="26" t="s">
        <v>55</v>
      </c>
      <c r="H692" s="26" t="s">
        <v>534</v>
      </c>
      <c r="J692" s="22">
        <v>1</v>
      </c>
      <c r="L692" s="28" t="s">
        <v>57</v>
      </c>
      <c r="M692" s="22" t="s">
        <v>77</v>
      </c>
      <c r="N692" s="22">
        <v>0</v>
      </c>
      <c r="O692" s="22" t="s">
        <v>59</v>
      </c>
      <c r="P692" s="22" t="s">
        <v>78</v>
      </c>
      <c r="Q692" s="23" t="s">
        <v>338</v>
      </c>
      <c r="S692" s="24" t="s">
        <v>2120</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2117</v>
      </c>
      <c r="C693" s="259" t="s">
        <v>2118</v>
      </c>
      <c r="D693" s="229" t="s">
        <v>2121</v>
      </c>
      <c r="E693" s="3" t="s">
        <v>338</v>
      </c>
      <c r="F693" s="26" t="s">
        <v>102</v>
      </c>
      <c r="G693" s="26" t="s">
        <v>55</v>
      </c>
      <c r="H693" s="26" t="s">
        <v>534</v>
      </c>
      <c r="J693" s="22">
        <v>1</v>
      </c>
      <c r="L693" s="28" t="s">
        <v>57</v>
      </c>
      <c r="M693" s="22" t="s">
        <v>77</v>
      </c>
      <c r="N693" s="22" t="s">
        <v>2992</v>
      </c>
      <c r="O693" s="22" t="s">
        <v>59</v>
      </c>
      <c r="P693" s="22" t="s">
        <v>78</v>
      </c>
      <c r="Q693" s="23" t="s">
        <v>338</v>
      </c>
      <c r="S693" s="24" t="s">
        <v>2120</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2117</v>
      </c>
      <c r="C694" s="259" t="s">
        <v>2118</v>
      </c>
      <c r="D694" s="229" t="s">
        <v>2122</v>
      </c>
      <c r="E694" s="3" t="s">
        <v>338</v>
      </c>
      <c r="F694" s="26" t="s">
        <v>102</v>
      </c>
      <c r="G694" s="26" t="s">
        <v>55</v>
      </c>
      <c r="H694" s="26" t="s">
        <v>534</v>
      </c>
      <c r="J694" s="22">
        <v>0.5</v>
      </c>
      <c r="L694" s="28" t="s">
        <v>57</v>
      </c>
      <c r="M694" s="22" t="s">
        <v>77</v>
      </c>
      <c r="N694" s="176" t="s">
        <v>2992</v>
      </c>
      <c r="O694" s="22" t="s">
        <v>59</v>
      </c>
      <c r="P694" s="22" t="s">
        <v>78</v>
      </c>
      <c r="Q694" s="23" t="s">
        <v>338</v>
      </c>
      <c r="S694" s="24" t="s">
        <v>2120</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2117</v>
      </c>
      <c r="C695" s="259" t="s">
        <v>2118</v>
      </c>
      <c r="D695" s="229" t="s">
        <v>2123</v>
      </c>
      <c r="E695" s="3" t="s">
        <v>338</v>
      </c>
      <c r="F695" s="26" t="s">
        <v>102</v>
      </c>
      <c r="G695" s="26" t="s">
        <v>55</v>
      </c>
      <c r="H695" s="26" t="s">
        <v>534</v>
      </c>
      <c r="J695" s="22">
        <v>1</v>
      </c>
      <c r="L695" s="28" t="s">
        <v>57</v>
      </c>
      <c r="M695" s="22" t="s">
        <v>77</v>
      </c>
      <c r="N695" s="22">
        <v>108</v>
      </c>
      <c r="O695" s="22" t="s">
        <v>59</v>
      </c>
      <c r="P695" s="22" t="s">
        <v>78</v>
      </c>
      <c r="Q695" s="23" t="s">
        <v>338</v>
      </c>
      <c r="S695" s="24" t="s">
        <v>2120</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2117</v>
      </c>
      <c r="C696" s="259" t="s">
        <v>2118</v>
      </c>
      <c r="D696" s="229" t="s">
        <v>2124</v>
      </c>
      <c r="E696" s="3" t="s">
        <v>338</v>
      </c>
      <c r="F696" s="26" t="s">
        <v>102</v>
      </c>
      <c r="G696" s="26" t="s">
        <v>55</v>
      </c>
      <c r="H696" s="26" t="s">
        <v>539</v>
      </c>
      <c r="J696" s="22">
        <v>1</v>
      </c>
      <c r="L696" s="28" t="s">
        <v>57</v>
      </c>
      <c r="M696" s="22" t="s">
        <v>77</v>
      </c>
      <c r="N696" s="22">
        <v>24</v>
      </c>
      <c r="O696" s="22" t="s">
        <v>59</v>
      </c>
      <c r="P696" s="22" t="s">
        <v>78</v>
      </c>
      <c r="Q696" s="23" t="s">
        <v>338</v>
      </c>
      <c r="S696" s="24" t="s">
        <v>2120</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2117</v>
      </c>
      <c r="C697" s="259" t="s">
        <v>2118</v>
      </c>
      <c r="D697" s="229" t="s">
        <v>2125</v>
      </c>
      <c r="E697" s="3" t="s">
        <v>338</v>
      </c>
      <c r="F697" s="26" t="s">
        <v>102</v>
      </c>
      <c r="G697" s="26" t="s">
        <v>55</v>
      </c>
      <c r="H697" s="26" t="s">
        <v>539</v>
      </c>
      <c r="J697" s="22">
        <v>1</v>
      </c>
      <c r="L697" s="28" t="s">
        <v>57</v>
      </c>
      <c r="M697" s="22" t="s">
        <v>77</v>
      </c>
      <c r="N697" s="176" t="s">
        <v>2992</v>
      </c>
      <c r="O697" s="22" t="s">
        <v>59</v>
      </c>
      <c r="P697" s="22" t="s">
        <v>78</v>
      </c>
      <c r="Q697" s="23" t="s">
        <v>338</v>
      </c>
      <c r="S697" s="24" t="s">
        <v>2120</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2117</v>
      </c>
      <c r="C698" s="259" t="s">
        <v>2118</v>
      </c>
      <c r="D698" s="229" t="s">
        <v>2126</v>
      </c>
      <c r="E698" s="3" t="s">
        <v>338</v>
      </c>
      <c r="F698" s="26" t="s">
        <v>102</v>
      </c>
      <c r="G698" s="26" t="s">
        <v>55</v>
      </c>
      <c r="H698" s="26" t="s">
        <v>539</v>
      </c>
      <c r="J698" s="22">
        <v>0.5</v>
      </c>
      <c r="L698" s="28" t="s">
        <v>57</v>
      </c>
      <c r="M698" s="22" t="s">
        <v>77</v>
      </c>
      <c r="N698" s="176" t="s">
        <v>2992</v>
      </c>
      <c r="O698" s="22" t="s">
        <v>59</v>
      </c>
      <c r="P698" s="22" t="s">
        <v>78</v>
      </c>
      <c r="Q698" s="23" t="s">
        <v>338</v>
      </c>
      <c r="S698" s="24" t="s">
        <v>2120</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2117</v>
      </c>
      <c r="C699" s="259" t="s">
        <v>2118</v>
      </c>
      <c r="D699" s="229" t="s">
        <v>2127</v>
      </c>
      <c r="E699" s="3" t="s">
        <v>338</v>
      </c>
      <c r="F699" s="26" t="s">
        <v>102</v>
      </c>
      <c r="G699" s="26" t="s">
        <v>55</v>
      </c>
      <c r="H699" s="26" t="s">
        <v>539</v>
      </c>
      <c r="J699" s="22">
        <v>1</v>
      </c>
      <c r="L699" s="28" t="s">
        <v>57</v>
      </c>
      <c r="M699" s="22" t="s">
        <v>77</v>
      </c>
      <c r="N699" s="22">
        <v>132</v>
      </c>
      <c r="O699" s="22" t="s">
        <v>59</v>
      </c>
      <c r="P699" s="22" t="s">
        <v>78</v>
      </c>
      <c r="Q699" s="23" t="s">
        <v>338</v>
      </c>
      <c r="S699" s="24" t="s">
        <v>2120</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2117</v>
      </c>
      <c r="C700" s="259" t="s">
        <v>2118</v>
      </c>
      <c r="D700" s="229" t="s">
        <v>2128</v>
      </c>
      <c r="E700" s="3" t="s">
        <v>338</v>
      </c>
      <c r="F700" s="26" t="s">
        <v>102</v>
      </c>
      <c r="G700" s="26" t="s">
        <v>55</v>
      </c>
      <c r="H700" s="26" t="s">
        <v>1337</v>
      </c>
      <c r="I700" s="26" t="s">
        <v>2129</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2117</v>
      </c>
      <c r="C701" s="259" t="s">
        <v>2118</v>
      </c>
      <c r="D701" s="229" t="s">
        <v>2130</v>
      </c>
      <c r="E701" s="3" t="s">
        <v>338</v>
      </c>
      <c r="F701" s="26" t="s">
        <v>102</v>
      </c>
      <c r="G701" s="26" t="s">
        <v>55</v>
      </c>
      <c r="H701" s="26" t="s">
        <v>1337</v>
      </c>
      <c r="I701" s="26" t="s">
        <v>2129</v>
      </c>
      <c r="J701" s="22">
        <v>4</v>
      </c>
      <c r="L701" s="28" t="s">
        <v>57</v>
      </c>
      <c r="M701" s="22" t="s">
        <v>58</v>
      </c>
      <c r="N701" s="176" t="s">
        <v>2992</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2117</v>
      </c>
      <c r="C702" s="259" t="s">
        <v>2118</v>
      </c>
      <c r="D702" s="229" t="s">
        <v>2131</v>
      </c>
      <c r="E702" s="3" t="s">
        <v>338</v>
      </c>
      <c r="F702" s="26" t="s">
        <v>102</v>
      </c>
      <c r="G702" s="26" t="s">
        <v>55</v>
      </c>
      <c r="H702" s="26" t="s">
        <v>1337</v>
      </c>
      <c r="I702" s="26" t="s">
        <v>2129</v>
      </c>
      <c r="J702" s="22">
        <v>1</v>
      </c>
      <c r="L702" s="28" t="s">
        <v>57</v>
      </c>
      <c r="M702" s="22" t="s">
        <v>58</v>
      </c>
      <c r="N702" s="176" t="s">
        <v>2992</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2117</v>
      </c>
      <c r="C703" s="259" t="s">
        <v>2118</v>
      </c>
      <c r="D703" s="229" t="s">
        <v>2132</v>
      </c>
      <c r="E703" s="3" t="s">
        <v>338</v>
      </c>
      <c r="F703" s="26" t="s">
        <v>102</v>
      </c>
      <c r="G703" s="26" t="s">
        <v>55</v>
      </c>
      <c r="H703" s="26" t="s">
        <v>1337</v>
      </c>
      <c r="I703" s="26" t="s">
        <v>2129</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2117</v>
      </c>
      <c r="C704" s="259" t="s">
        <v>2118</v>
      </c>
      <c r="D704" s="229" t="s">
        <v>2133</v>
      </c>
      <c r="E704" s="3" t="s">
        <v>338</v>
      </c>
      <c r="F704" s="26" t="s">
        <v>102</v>
      </c>
      <c r="G704" s="26" t="s">
        <v>55</v>
      </c>
      <c r="H704" s="26" t="s">
        <v>1338</v>
      </c>
      <c r="I704" s="26" t="s">
        <v>2129</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2117</v>
      </c>
      <c r="C705" s="259" t="s">
        <v>2118</v>
      </c>
      <c r="D705" s="229" t="s">
        <v>2134</v>
      </c>
      <c r="E705" s="3" t="s">
        <v>338</v>
      </c>
      <c r="F705" s="26" t="s">
        <v>102</v>
      </c>
      <c r="G705" s="26" t="s">
        <v>55</v>
      </c>
      <c r="H705" s="26" t="s">
        <v>1338</v>
      </c>
      <c r="I705" s="26" t="s">
        <v>2129</v>
      </c>
      <c r="J705" s="176">
        <v>4</v>
      </c>
      <c r="K705" s="180"/>
      <c r="L705" s="180" t="s">
        <v>57</v>
      </c>
      <c r="M705" s="176" t="s">
        <v>58</v>
      </c>
      <c r="N705" s="176" t="s">
        <v>2992</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2117</v>
      </c>
      <c r="C706" s="259" t="s">
        <v>2118</v>
      </c>
      <c r="D706" s="229" t="s">
        <v>2135</v>
      </c>
      <c r="E706" s="3" t="s">
        <v>338</v>
      </c>
      <c r="F706" s="26" t="s">
        <v>102</v>
      </c>
      <c r="G706" s="26" t="s">
        <v>55</v>
      </c>
      <c r="H706" s="26" t="s">
        <v>1338</v>
      </c>
      <c r="I706" s="26" t="s">
        <v>2129</v>
      </c>
      <c r="J706" s="176">
        <v>1</v>
      </c>
      <c r="K706" s="180"/>
      <c r="L706" s="180" t="s">
        <v>57</v>
      </c>
      <c r="M706" s="176" t="s">
        <v>58</v>
      </c>
      <c r="N706" s="176" t="s">
        <v>2992</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2117</v>
      </c>
      <c r="C707" s="259" t="s">
        <v>2118</v>
      </c>
      <c r="D707" s="229" t="s">
        <v>2136</v>
      </c>
      <c r="E707" s="3" t="s">
        <v>338</v>
      </c>
      <c r="F707" s="26" t="s">
        <v>102</v>
      </c>
      <c r="G707" s="26" t="s">
        <v>55</v>
      </c>
      <c r="H707" s="26" t="s">
        <v>1338</v>
      </c>
      <c r="I707" s="26" t="s">
        <v>2129</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2154</v>
      </c>
      <c r="C708" s="263" t="s">
        <v>2155</v>
      </c>
      <c r="D708" s="229" t="s">
        <v>2156</v>
      </c>
      <c r="E708" s="3" t="s">
        <v>2037</v>
      </c>
      <c r="F708" s="26" t="s">
        <v>102</v>
      </c>
      <c r="G708" s="26" t="s">
        <v>55</v>
      </c>
      <c r="H708" s="26" t="s">
        <v>56</v>
      </c>
      <c r="J708" s="22">
        <v>0.8</v>
      </c>
      <c r="L708" s="28" t="s">
        <v>57</v>
      </c>
      <c r="M708" s="22" t="s">
        <v>58</v>
      </c>
      <c r="N708" s="22">
        <v>170</v>
      </c>
      <c r="O708" s="22" t="s">
        <v>59</v>
      </c>
      <c r="P708" s="22" t="s">
        <v>78</v>
      </c>
      <c r="R708" s="23" t="s">
        <v>2158</v>
      </c>
      <c r="T708" s="23" t="s">
        <v>2159</v>
      </c>
      <c r="V708" s="25" t="s">
        <v>61</v>
      </c>
      <c r="W708" s="65" t="s">
        <v>1960</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1407</v>
      </c>
    </row>
    <row r="709" spans="1:70" ht="14.25" x14ac:dyDescent="0.2">
      <c r="A709" s="91">
        <v>777</v>
      </c>
      <c r="B709" s="229" t="s">
        <v>2154</v>
      </c>
      <c r="C709" s="263" t="s">
        <v>2155</v>
      </c>
      <c r="D709" s="229" t="s">
        <v>2157</v>
      </c>
      <c r="E709" s="3" t="s">
        <v>2037</v>
      </c>
      <c r="F709" s="26" t="s">
        <v>102</v>
      </c>
      <c r="G709" s="26" t="s">
        <v>55</v>
      </c>
      <c r="H709" s="26" t="s">
        <v>56</v>
      </c>
      <c r="J709" s="22">
        <v>0.8</v>
      </c>
      <c r="L709" s="28" t="s">
        <v>57</v>
      </c>
      <c r="M709" s="22" t="s">
        <v>58</v>
      </c>
      <c r="N709" s="22">
        <v>170</v>
      </c>
      <c r="O709" s="22" t="s">
        <v>59</v>
      </c>
      <c r="P709" s="22" t="s">
        <v>78</v>
      </c>
      <c r="R709" s="23" t="s">
        <v>2158</v>
      </c>
      <c r="T709" s="23" t="s">
        <v>2159</v>
      </c>
      <c r="V709" s="25" t="s">
        <v>61</v>
      </c>
      <c r="W709" s="65" t="s">
        <v>1960</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1407</v>
      </c>
    </row>
    <row r="710" spans="1:70" ht="14.25" x14ac:dyDescent="0.2">
      <c r="A710" s="91">
        <v>778</v>
      </c>
      <c r="B710" s="229" t="s">
        <v>2162</v>
      </c>
      <c r="C710" s="263" t="s">
        <v>2163</v>
      </c>
      <c r="D710" s="229" t="s">
        <v>1963</v>
      </c>
      <c r="E710" s="3" t="s">
        <v>338</v>
      </c>
      <c r="F710" s="26" t="s">
        <v>54</v>
      </c>
      <c r="G710" s="179" t="s">
        <v>75</v>
      </c>
      <c r="H710" s="179" t="s">
        <v>56</v>
      </c>
      <c r="I710" s="179" t="s">
        <v>2166</v>
      </c>
      <c r="J710" s="176">
        <v>50</v>
      </c>
      <c r="K710" s="180"/>
      <c r="L710" s="180" t="s">
        <v>211</v>
      </c>
      <c r="M710" s="176" t="s">
        <v>77</v>
      </c>
      <c r="N710" s="176">
        <v>0</v>
      </c>
      <c r="O710" s="176" t="s">
        <v>59</v>
      </c>
      <c r="P710" s="176" t="s">
        <v>78</v>
      </c>
      <c r="Q710" s="177"/>
      <c r="R710" s="177"/>
      <c r="S710" s="178">
        <v>5</v>
      </c>
      <c r="T710" s="177"/>
      <c r="U710" s="177"/>
      <c r="V710" s="165" t="s">
        <v>61</v>
      </c>
      <c r="W710" s="166" t="s">
        <v>1960</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2167</v>
      </c>
    </row>
    <row r="711" spans="1:70" ht="14.25" x14ac:dyDescent="0.2">
      <c r="A711" s="91">
        <v>779</v>
      </c>
      <c r="B711" s="229" t="s">
        <v>2162</v>
      </c>
      <c r="C711" s="263" t="s">
        <v>2163</v>
      </c>
      <c r="D711" s="229" t="s">
        <v>2164</v>
      </c>
      <c r="E711" s="3" t="s">
        <v>338</v>
      </c>
      <c r="F711" s="26" t="s">
        <v>54</v>
      </c>
      <c r="G711" s="179" t="s">
        <v>75</v>
      </c>
      <c r="H711" s="179" t="s">
        <v>56</v>
      </c>
      <c r="I711" s="179" t="s">
        <v>2166</v>
      </c>
      <c r="J711" s="176">
        <v>50</v>
      </c>
      <c r="K711" s="180"/>
      <c r="L711" s="180" t="s">
        <v>211</v>
      </c>
      <c r="M711" s="176" t="s">
        <v>77</v>
      </c>
      <c r="N711" s="176">
        <v>1.5</v>
      </c>
      <c r="O711" s="176" t="s">
        <v>59</v>
      </c>
      <c r="P711" s="176" t="s">
        <v>78</v>
      </c>
      <c r="Q711" s="177"/>
      <c r="R711" s="177"/>
      <c r="S711" s="178">
        <v>5</v>
      </c>
      <c r="T711" s="177"/>
      <c r="U711" s="177"/>
      <c r="V711" s="165" t="s">
        <v>61</v>
      </c>
      <c r="W711" s="166" t="s">
        <v>1960</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2167</v>
      </c>
    </row>
    <row r="712" spans="1:70" ht="14.25" x14ac:dyDescent="0.2">
      <c r="A712" s="91">
        <v>780</v>
      </c>
      <c r="B712" s="229" t="s">
        <v>2162</v>
      </c>
      <c r="C712" s="263" t="s">
        <v>2163</v>
      </c>
      <c r="D712" s="229" t="s">
        <v>2165</v>
      </c>
      <c r="E712" s="3" t="s">
        <v>338</v>
      </c>
      <c r="F712" s="26" t="s">
        <v>54</v>
      </c>
      <c r="G712" s="179" t="s">
        <v>75</v>
      </c>
      <c r="H712" s="179" t="s">
        <v>56</v>
      </c>
      <c r="I712" s="179" t="s">
        <v>2166</v>
      </c>
      <c r="J712" s="176">
        <v>50</v>
      </c>
      <c r="K712" s="180"/>
      <c r="L712" s="180" t="s">
        <v>211</v>
      </c>
      <c r="M712" s="176" t="s">
        <v>77</v>
      </c>
      <c r="N712" s="176">
        <v>145.5</v>
      </c>
      <c r="O712" s="176" t="s">
        <v>59</v>
      </c>
      <c r="P712" s="176" t="s">
        <v>78</v>
      </c>
      <c r="Q712" s="177"/>
      <c r="R712" s="177"/>
      <c r="S712" s="178">
        <v>5</v>
      </c>
      <c r="T712" s="177"/>
      <c r="U712" s="177"/>
      <c r="V712" s="165" t="s">
        <v>61</v>
      </c>
      <c r="W712" s="166" t="s">
        <v>1960</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2167</v>
      </c>
    </row>
    <row r="713" spans="1:70" ht="14.25" x14ac:dyDescent="0.2">
      <c r="A713" s="91">
        <v>781</v>
      </c>
      <c r="B713" s="229" t="s">
        <v>2172</v>
      </c>
      <c r="C713" s="263" t="s">
        <v>1974</v>
      </c>
      <c r="D713" s="229" t="s">
        <v>2173</v>
      </c>
      <c r="E713" s="3" t="s">
        <v>1958</v>
      </c>
      <c r="F713" s="26" t="s">
        <v>102</v>
      </c>
      <c r="G713" s="179" t="s">
        <v>55</v>
      </c>
      <c r="H713" s="179" t="s">
        <v>65</v>
      </c>
      <c r="I713" s="179"/>
      <c r="J713" s="176">
        <v>0.125</v>
      </c>
      <c r="K713" s="180"/>
      <c r="L713" s="180" t="s">
        <v>57</v>
      </c>
      <c r="M713" s="176" t="s">
        <v>58</v>
      </c>
      <c r="N713" s="176">
        <v>25</v>
      </c>
      <c r="O713" s="176" t="s">
        <v>59</v>
      </c>
      <c r="P713" s="176" t="s">
        <v>78</v>
      </c>
      <c r="Q713" s="177"/>
      <c r="R713" s="177" t="s">
        <v>2400</v>
      </c>
      <c r="S713" s="178"/>
      <c r="T713" s="177"/>
      <c r="U713" s="177" t="s">
        <v>1976</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2402</v>
      </c>
    </row>
    <row r="714" spans="1:70" ht="14.25" x14ac:dyDescent="0.2">
      <c r="A714" s="91">
        <v>782</v>
      </c>
      <c r="B714" s="229" t="s">
        <v>2180</v>
      </c>
      <c r="C714" s="263" t="s">
        <v>2181</v>
      </c>
      <c r="D714" s="229" t="s">
        <v>2182</v>
      </c>
      <c r="E714" s="3" t="s">
        <v>2185</v>
      </c>
      <c r="F714" s="26" t="s">
        <v>102</v>
      </c>
      <c r="G714" s="26" t="s">
        <v>55</v>
      </c>
      <c r="H714" s="26" t="s">
        <v>156</v>
      </c>
      <c r="J714" s="22">
        <v>600</v>
      </c>
      <c r="L714" s="28" t="s">
        <v>57</v>
      </c>
      <c r="M714" s="22" t="s">
        <v>58</v>
      </c>
      <c r="N714" s="22" t="s">
        <v>2186</v>
      </c>
      <c r="O714" s="22" t="s">
        <v>59</v>
      </c>
      <c r="P714" s="22" t="s">
        <v>1497</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2203</v>
      </c>
    </row>
    <row r="715" spans="1:70" ht="14.25" x14ac:dyDescent="0.2">
      <c r="A715" s="91">
        <v>783</v>
      </c>
      <c r="B715" s="229" t="s">
        <v>2180</v>
      </c>
      <c r="C715" s="263" t="s">
        <v>2181</v>
      </c>
      <c r="D715" s="229" t="s">
        <v>2183</v>
      </c>
      <c r="E715" s="3" t="s">
        <v>2185</v>
      </c>
      <c r="F715" s="26" t="s">
        <v>102</v>
      </c>
      <c r="G715" s="26" t="s">
        <v>55</v>
      </c>
      <c r="H715" s="26" t="s">
        <v>156</v>
      </c>
      <c r="J715" s="22">
        <v>600</v>
      </c>
      <c r="L715" s="28" t="s">
        <v>57</v>
      </c>
      <c r="M715" s="22" t="s">
        <v>58</v>
      </c>
      <c r="N715" s="22" t="s">
        <v>2186</v>
      </c>
      <c r="O715" s="22" t="s">
        <v>59</v>
      </c>
      <c r="P715" s="22" t="s">
        <v>1497</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2203</v>
      </c>
    </row>
    <row r="716" spans="1:70" ht="14.25" x14ac:dyDescent="0.2">
      <c r="A716" s="91">
        <v>784</v>
      </c>
      <c r="B716" s="229" t="s">
        <v>2180</v>
      </c>
      <c r="C716" s="263" t="s">
        <v>2181</v>
      </c>
      <c r="D716" s="229" t="s">
        <v>2184</v>
      </c>
      <c r="E716" s="3" t="s">
        <v>2185</v>
      </c>
      <c r="F716" s="26" t="s">
        <v>102</v>
      </c>
      <c r="G716" s="26" t="s">
        <v>55</v>
      </c>
      <c r="H716" s="26" t="s">
        <v>156</v>
      </c>
      <c r="J716" s="22">
        <v>600</v>
      </c>
      <c r="L716" s="28" t="s">
        <v>57</v>
      </c>
      <c r="M716" s="22" t="s">
        <v>58</v>
      </c>
      <c r="N716" s="22" t="s">
        <v>2186</v>
      </c>
      <c r="O716" s="22" t="s">
        <v>59</v>
      </c>
      <c r="P716" s="22" t="s">
        <v>1497</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2203</v>
      </c>
    </row>
    <row r="717" spans="1:70" ht="14.25" x14ac:dyDescent="0.2">
      <c r="A717" s="91">
        <v>785</v>
      </c>
      <c r="B717" s="229" t="s">
        <v>2187</v>
      </c>
      <c r="C717" s="263" t="s">
        <v>2189</v>
      </c>
      <c r="D717" s="229" t="s">
        <v>2188</v>
      </c>
      <c r="E717" s="3" t="s">
        <v>2185</v>
      </c>
      <c r="F717" s="26" t="s">
        <v>102</v>
      </c>
      <c r="G717" s="26" t="s">
        <v>55</v>
      </c>
      <c r="H717" s="26" t="s">
        <v>429</v>
      </c>
      <c r="J717" s="22">
        <v>600</v>
      </c>
      <c r="L717" s="28" t="s">
        <v>57</v>
      </c>
      <c r="M717" s="22" t="s">
        <v>58</v>
      </c>
      <c r="N717" s="22" t="s">
        <v>1477</v>
      </c>
      <c r="O717" s="22" t="s">
        <v>59</v>
      </c>
      <c r="P717" s="22" t="s">
        <v>1497</v>
      </c>
      <c r="R717" s="23" t="s">
        <v>2190</v>
      </c>
      <c r="V717" s="25" t="s">
        <v>435</v>
      </c>
      <c r="Y717" s="25" t="s">
        <v>2191</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2193</v>
      </c>
      <c r="C718" s="263" t="s">
        <v>2194</v>
      </c>
      <c r="D718" s="229" t="s">
        <v>2192</v>
      </c>
      <c r="E718" s="3" t="s">
        <v>2185</v>
      </c>
      <c r="F718" s="26" t="s">
        <v>102</v>
      </c>
      <c r="G718" s="26" t="s">
        <v>55</v>
      </c>
      <c r="H718" s="26" t="s">
        <v>156</v>
      </c>
      <c r="J718" s="22">
        <v>600</v>
      </c>
      <c r="L718" s="28" t="s">
        <v>57</v>
      </c>
      <c r="M718" s="22" t="s">
        <v>58</v>
      </c>
      <c r="N718" s="22" t="s">
        <v>2200</v>
      </c>
      <c r="O718" s="22" t="s">
        <v>59</v>
      </c>
      <c r="P718" s="22" t="s">
        <v>1497</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2195</v>
      </c>
      <c r="C719" s="263" t="s">
        <v>2201</v>
      </c>
      <c r="D719" s="229" t="s">
        <v>2196</v>
      </c>
      <c r="E719" s="3" t="s">
        <v>2185</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2204</v>
      </c>
    </row>
    <row r="720" spans="1:70" ht="14.25" x14ac:dyDescent="0.2">
      <c r="A720" s="91">
        <v>788</v>
      </c>
      <c r="B720" s="229" t="s">
        <v>2195</v>
      </c>
      <c r="C720" s="263" t="s">
        <v>2201</v>
      </c>
      <c r="D720" s="229" t="s">
        <v>2197</v>
      </c>
      <c r="E720" s="3" t="s">
        <v>2185</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2205</v>
      </c>
    </row>
    <row r="721" spans="1:70" ht="14.25" x14ac:dyDescent="0.2">
      <c r="A721" s="91">
        <v>789</v>
      </c>
      <c r="B721" s="229" t="s">
        <v>2195</v>
      </c>
      <c r="C721" s="263" t="s">
        <v>2201</v>
      </c>
      <c r="D721" s="229" t="s">
        <v>2198</v>
      </c>
      <c r="E721" s="3" t="s">
        <v>2185</v>
      </c>
      <c r="F721" s="26" t="s">
        <v>102</v>
      </c>
      <c r="G721" s="26" t="s">
        <v>55</v>
      </c>
      <c r="H721" s="26" t="s">
        <v>56</v>
      </c>
      <c r="J721" s="22">
        <v>200</v>
      </c>
      <c r="L721" s="28" t="s">
        <v>57</v>
      </c>
      <c r="M721" s="22" t="s">
        <v>58</v>
      </c>
      <c r="N721" s="22" t="s">
        <v>1477</v>
      </c>
      <c r="O721" s="22" t="s">
        <v>59</v>
      </c>
      <c r="P721" s="22" t="s">
        <v>1497</v>
      </c>
      <c r="V721" s="25" t="s">
        <v>61</v>
      </c>
      <c r="W721" s="65">
        <v>8</v>
      </c>
      <c r="Z721" s="83" t="s">
        <v>62</v>
      </c>
      <c r="AA721" s="6">
        <v>8</v>
      </c>
      <c r="AC721" s="5">
        <v>29.9</v>
      </c>
      <c r="AD721" s="5" t="s">
        <v>79</v>
      </c>
      <c r="AE721" s="5" t="s">
        <v>115</v>
      </c>
      <c r="AI721" s="5">
        <v>19</v>
      </c>
      <c r="AJ721" s="5">
        <v>49</v>
      </c>
      <c r="BQ721" s="6" t="s">
        <v>213</v>
      </c>
      <c r="BR721" s="5" t="s">
        <v>2204</v>
      </c>
    </row>
    <row r="722" spans="1:70" ht="14.25" x14ac:dyDescent="0.2">
      <c r="A722" s="91">
        <v>790</v>
      </c>
      <c r="B722" s="229" t="s">
        <v>2195</v>
      </c>
      <c r="C722" s="263" t="s">
        <v>2201</v>
      </c>
      <c r="D722" s="229" t="s">
        <v>2199</v>
      </c>
      <c r="E722" s="3" t="s">
        <v>2185</v>
      </c>
      <c r="F722" s="26" t="s">
        <v>102</v>
      </c>
      <c r="G722" s="26" t="s">
        <v>55</v>
      </c>
      <c r="H722" s="26" t="s">
        <v>56</v>
      </c>
      <c r="J722" s="22">
        <v>400</v>
      </c>
      <c r="L722" s="28" t="s">
        <v>57</v>
      </c>
      <c r="M722" s="22" t="s">
        <v>58</v>
      </c>
      <c r="N722" s="22" t="s">
        <v>1477</v>
      </c>
      <c r="O722" s="22" t="s">
        <v>59</v>
      </c>
      <c r="P722" s="22" t="s">
        <v>1497</v>
      </c>
      <c r="V722" s="25" t="s">
        <v>61</v>
      </c>
      <c r="W722" s="65">
        <v>8</v>
      </c>
      <c r="Z722" s="83" t="s">
        <v>62</v>
      </c>
      <c r="AA722" s="6">
        <v>8</v>
      </c>
      <c r="AC722" s="5">
        <v>29.9</v>
      </c>
      <c r="AD722" s="5" t="s">
        <v>79</v>
      </c>
      <c r="AE722" s="5" t="s">
        <v>115</v>
      </c>
      <c r="AI722" s="5">
        <v>19</v>
      </c>
      <c r="AJ722" s="5">
        <v>49</v>
      </c>
      <c r="BQ722" s="6" t="s">
        <v>213</v>
      </c>
      <c r="BR722" s="5" t="s">
        <v>2205</v>
      </c>
    </row>
    <row r="723" spans="1:70" ht="14.25" x14ac:dyDescent="0.2">
      <c r="A723" s="91">
        <v>791</v>
      </c>
      <c r="B723" s="229" t="s">
        <v>2207</v>
      </c>
      <c r="C723" s="263" t="s">
        <v>2206</v>
      </c>
      <c r="D723" s="229" t="s">
        <v>2208</v>
      </c>
      <c r="E723" s="3" t="s">
        <v>2185</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1407</v>
      </c>
    </row>
    <row r="724" spans="1:70" ht="14.25" x14ac:dyDescent="0.2">
      <c r="A724" s="91">
        <v>792</v>
      </c>
      <c r="B724" s="229" t="s">
        <v>2207</v>
      </c>
      <c r="C724" s="263" t="s">
        <v>2206</v>
      </c>
      <c r="D724" s="229" t="s">
        <v>2209</v>
      </c>
      <c r="E724" s="3" t="s">
        <v>2185</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1407</v>
      </c>
    </row>
    <row r="725" spans="1:70" ht="14.25" x14ac:dyDescent="0.2">
      <c r="A725" s="91">
        <v>793</v>
      </c>
      <c r="B725" s="229" t="s">
        <v>2207</v>
      </c>
      <c r="C725" s="263" t="s">
        <v>2206</v>
      </c>
      <c r="D725" s="229" t="s">
        <v>2210</v>
      </c>
      <c r="E725" s="123" t="s">
        <v>2185</v>
      </c>
      <c r="F725" s="26" t="s">
        <v>102</v>
      </c>
      <c r="G725" s="26" t="s">
        <v>75</v>
      </c>
      <c r="H725" s="26" t="s">
        <v>2211</v>
      </c>
      <c r="J725" s="22">
        <v>600</v>
      </c>
      <c r="L725" s="28" t="s">
        <v>57</v>
      </c>
      <c r="M725" s="22" t="s">
        <v>58</v>
      </c>
      <c r="N725" s="22">
        <v>0</v>
      </c>
      <c r="O725" s="22" t="s">
        <v>59</v>
      </c>
      <c r="P725" s="22" t="s">
        <v>78</v>
      </c>
      <c r="V725" s="25" t="s">
        <v>61</v>
      </c>
      <c r="Z725" s="83" t="s">
        <v>62</v>
      </c>
      <c r="AA725" s="6">
        <v>3</v>
      </c>
      <c r="BQ725" s="6" t="s">
        <v>213</v>
      </c>
      <c r="BR725" s="5" t="s">
        <v>1407</v>
      </c>
    </row>
    <row r="726" spans="1:70" ht="14.25" x14ac:dyDescent="0.2">
      <c r="A726" s="91">
        <v>794</v>
      </c>
      <c r="B726" s="229" t="s">
        <v>2213</v>
      </c>
      <c r="C726" s="263" t="s">
        <v>2219</v>
      </c>
      <c r="D726" s="229" t="s">
        <v>2214</v>
      </c>
      <c r="E726" s="3" t="s">
        <v>2185</v>
      </c>
      <c r="F726" s="26" t="s">
        <v>102</v>
      </c>
      <c r="G726" s="26" t="s">
        <v>55</v>
      </c>
      <c r="H726" s="26" t="s">
        <v>2215</v>
      </c>
      <c r="I726" s="26" t="s">
        <v>2216</v>
      </c>
      <c r="J726" s="22">
        <v>600</v>
      </c>
      <c r="L726" s="28" t="s">
        <v>57</v>
      </c>
      <c r="M726" s="22" t="s">
        <v>58</v>
      </c>
      <c r="N726" s="22" t="s">
        <v>1496</v>
      </c>
      <c r="O726" s="22" t="s">
        <v>59</v>
      </c>
      <c r="P726" s="22" t="s">
        <v>1497</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2217</v>
      </c>
      <c r="BR726" s="5" t="s">
        <v>2218</v>
      </c>
    </row>
    <row r="727" spans="1:70" ht="14.25" x14ac:dyDescent="0.2">
      <c r="A727" s="91">
        <v>795</v>
      </c>
      <c r="B727" s="229" t="s">
        <v>2220</v>
      </c>
      <c r="C727" s="263" t="s">
        <v>2224</v>
      </c>
      <c r="D727" s="229" t="s">
        <v>2221</v>
      </c>
      <c r="E727" s="3" t="s">
        <v>2185</v>
      </c>
      <c r="F727" s="26" t="s">
        <v>102</v>
      </c>
      <c r="G727" s="26" t="s">
        <v>55</v>
      </c>
      <c r="H727" s="26" t="s">
        <v>2226</v>
      </c>
      <c r="J727" s="22">
        <v>400</v>
      </c>
      <c r="L727" s="28" t="s">
        <v>57</v>
      </c>
      <c r="M727" s="22" t="s">
        <v>58</v>
      </c>
      <c r="N727" s="22" t="s">
        <v>1496</v>
      </c>
      <c r="O727" s="22" t="s">
        <v>59</v>
      </c>
      <c r="P727" s="22" t="s">
        <v>1497</v>
      </c>
      <c r="R727" s="23" t="s">
        <v>2190</v>
      </c>
      <c r="T727" s="23">
        <v>240</v>
      </c>
      <c r="V727" s="25" t="s">
        <v>1445</v>
      </c>
      <c r="W727" s="65">
        <v>1</v>
      </c>
      <c r="X727" s="106" t="s">
        <v>2231</v>
      </c>
      <c r="Y727" s="25" t="s">
        <v>2232</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2225</v>
      </c>
    </row>
    <row r="728" spans="1:70" ht="14.25" x14ac:dyDescent="0.2">
      <c r="A728" s="91">
        <v>796</v>
      </c>
      <c r="B728" s="229" t="s">
        <v>2220</v>
      </c>
      <c r="C728" s="263" t="s">
        <v>2224</v>
      </c>
      <c r="D728" s="229" t="s">
        <v>2222</v>
      </c>
      <c r="E728" s="3" t="s">
        <v>2185</v>
      </c>
      <c r="F728" s="26" t="s">
        <v>102</v>
      </c>
      <c r="G728" s="26" t="s">
        <v>55</v>
      </c>
      <c r="H728" s="26" t="s">
        <v>2227</v>
      </c>
      <c r="J728" s="22">
        <v>400</v>
      </c>
      <c r="L728" s="28" t="s">
        <v>57</v>
      </c>
      <c r="M728" s="22" t="s">
        <v>58</v>
      </c>
      <c r="N728" s="22" t="s">
        <v>1496</v>
      </c>
      <c r="O728" s="22" t="s">
        <v>59</v>
      </c>
      <c r="P728" s="22" t="s">
        <v>1497</v>
      </c>
      <c r="R728" s="23" t="s">
        <v>2190</v>
      </c>
      <c r="T728" s="23">
        <v>240</v>
      </c>
      <c r="V728" s="25" t="s">
        <v>1445</v>
      </c>
      <c r="W728" s="65">
        <v>1</v>
      </c>
      <c r="X728" s="106" t="s">
        <v>2231</v>
      </c>
      <c r="Y728" s="25" t="s">
        <v>2232</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2225</v>
      </c>
    </row>
    <row r="729" spans="1:70" ht="14.25" x14ac:dyDescent="0.2">
      <c r="A729" s="91">
        <v>797</v>
      </c>
      <c r="B729" s="229" t="s">
        <v>2220</v>
      </c>
      <c r="C729" s="263" t="s">
        <v>2224</v>
      </c>
      <c r="D729" s="229" t="s">
        <v>2223</v>
      </c>
      <c r="E729" s="3" t="s">
        <v>2185</v>
      </c>
      <c r="F729" s="26" t="s">
        <v>102</v>
      </c>
      <c r="G729" s="26" t="s">
        <v>55</v>
      </c>
      <c r="H729" s="26" t="s">
        <v>2227</v>
      </c>
      <c r="J729" s="22">
        <v>400</v>
      </c>
      <c r="L729" s="28" t="s">
        <v>57</v>
      </c>
      <c r="M729" s="22" t="s">
        <v>58</v>
      </c>
      <c r="N729" s="22" t="s">
        <v>2228</v>
      </c>
      <c r="O729" s="22" t="s">
        <v>59</v>
      </c>
      <c r="P729" s="22" t="s">
        <v>1497</v>
      </c>
      <c r="R729" s="23" t="s">
        <v>2190</v>
      </c>
      <c r="T729" s="23">
        <v>240</v>
      </c>
      <c r="V729" s="25" t="s">
        <v>1445</v>
      </c>
      <c r="W729" s="65">
        <v>1</v>
      </c>
      <c r="X729" s="106" t="s">
        <v>2231</v>
      </c>
      <c r="Y729" s="25" t="s">
        <v>2232</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2225</v>
      </c>
    </row>
    <row r="730" spans="1:70" ht="14.25" x14ac:dyDescent="0.2">
      <c r="A730" s="91">
        <v>798</v>
      </c>
      <c r="B730" s="229" t="s">
        <v>2229</v>
      </c>
      <c r="C730" s="263" t="s">
        <v>2230</v>
      </c>
      <c r="D730" s="229" t="s">
        <v>2214</v>
      </c>
      <c r="E730" s="3" t="s">
        <v>2185</v>
      </c>
      <c r="F730" s="26" t="s">
        <v>102</v>
      </c>
      <c r="G730" s="26" t="s">
        <v>55</v>
      </c>
      <c r="H730" s="26" t="s">
        <v>1338</v>
      </c>
      <c r="J730" s="22">
        <v>600</v>
      </c>
      <c r="L730" s="28" t="s">
        <v>57</v>
      </c>
      <c r="M730" s="22" t="s">
        <v>58</v>
      </c>
      <c r="N730" s="22" t="s">
        <v>1477</v>
      </c>
      <c r="O730" s="22" t="s">
        <v>59</v>
      </c>
      <c r="P730" s="22" t="s">
        <v>1497</v>
      </c>
      <c r="Z730" s="83" t="s">
        <v>62</v>
      </c>
      <c r="AA730" s="6">
        <v>14</v>
      </c>
      <c r="AB730" s="6">
        <v>4</v>
      </c>
      <c r="AC730" s="5">
        <v>43.5</v>
      </c>
      <c r="AD730" s="5" t="s">
        <v>79</v>
      </c>
      <c r="AE730" s="5" t="s">
        <v>537</v>
      </c>
      <c r="AI730" s="5">
        <v>19</v>
      </c>
      <c r="AJ730" s="5">
        <v>57</v>
      </c>
      <c r="AL730" s="6" t="s">
        <v>80</v>
      </c>
      <c r="AQ730" s="6">
        <v>50</v>
      </c>
      <c r="BQ730" s="6" t="s">
        <v>213</v>
      </c>
      <c r="BR730" s="5" t="s">
        <v>2233</v>
      </c>
    </row>
    <row r="731" spans="1:70" ht="14.25" x14ac:dyDescent="0.2">
      <c r="A731" s="91">
        <v>799</v>
      </c>
      <c r="B731" s="229" t="s">
        <v>2234</v>
      </c>
      <c r="C731" s="263" t="s">
        <v>2235</v>
      </c>
      <c r="D731" s="229" t="s">
        <v>2214</v>
      </c>
      <c r="E731" s="3" t="s">
        <v>2185</v>
      </c>
      <c r="F731" s="26" t="s">
        <v>102</v>
      </c>
      <c r="G731" s="26" t="s">
        <v>55</v>
      </c>
      <c r="H731" s="26" t="s">
        <v>167</v>
      </c>
      <c r="J731" s="22">
        <v>600</v>
      </c>
      <c r="L731" s="28" t="s">
        <v>57</v>
      </c>
      <c r="M731" s="22" t="s">
        <v>58</v>
      </c>
      <c r="N731" s="22" t="s">
        <v>2236</v>
      </c>
      <c r="O731" s="22" t="s">
        <v>59</v>
      </c>
      <c r="P731" s="22" t="s">
        <v>1497</v>
      </c>
      <c r="Z731" s="83" t="s">
        <v>62</v>
      </c>
      <c r="AA731" s="6">
        <v>12</v>
      </c>
      <c r="AB731" s="6">
        <v>7</v>
      </c>
      <c r="AD731" s="5" t="s">
        <v>79</v>
      </c>
      <c r="AI731" s="5">
        <v>24</v>
      </c>
      <c r="AJ731" s="5">
        <v>49</v>
      </c>
      <c r="AL731" s="6" t="s">
        <v>80</v>
      </c>
      <c r="AQ731" s="6">
        <v>50</v>
      </c>
      <c r="AR731" s="6">
        <v>83</v>
      </c>
      <c r="BQ731" s="6" t="s">
        <v>2237</v>
      </c>
      <c r="BR731" s="5" t="s">
        <v>1334</v>
      </c>
    </row>
    <row r="732" spans="1:70" ht="14.25" x14ac:dyDescent="0.2">
      <c r="A732" s="91">
        <v>800</v>
      </c>
      <c r="B732" s="229" t="s">
        <v>2239</v>
      </c>
      <c r="C732" s="263" t="s">
        <v>2238</v>
      </c>
      <c r="D732" s="229" t="s">
        <v>2251</v>
      </c>
      <c r="E732" s="3" t="s">
        <v>338</v>
      </c>
      <c r="F732" s="26" t="s">
        <v>102</v>
      </c>
      <c r="G732" s="26" t="s">
        <v>55</v>
      </c>
      <c r="H732" s="26" t="s">
        <v>406</v>
      </c>
      <c r="I732" s="26" t="s">
        <v>2241</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2240</v>
      </c>
    </row>
    <row r="733" spans="1:70" ht="14.25" x14ac:dyDescent="0.2">
      <c r="A733" s="91">
        <v>801</v>
      </c>
      <c r="B733" s="229" t="s">
        <v>2239</v>
      </c>
      <c r="C733" s="263" t="s">
        <v>2238</v>
      </c>
      <c r="D733" s="229" t="s">
        <v>2248</v>
      </c>
      <c r="E733" s="3" t="s">
        <v>338</v>
      </c>
      <c r="F733" s="26" t="s">
        <v>102</v>
      </c>
      <c r="G733" s="26" t="s">
        <v>55</v>
      </c>
      <c r="H733" s="26" t="s">
        <v>406</v>
      </c>
      <c r="I733" s="26" t="s">
        <v>2247</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2240</v>
      </c>
    </row>
    <row r="734" spans="1:70" ht="14.25" x14ac:dyDescent="0.2">
      <c r="A734" s="91">
        <v>802</v>
      </c>
      <c r="B734" s="229" t="s">
        <v>2239</v>
      </c>
      <c r="C734" s="263" t="s">
        <v>2238</v>
      </c>
      <c r="D734" s="229" t="s">
        <v>2250</v>
      </c>
      <c r="E734" s="3" t="s">
        <v>338</v>
      </c>
      <c r="F734" s="26" t="s">
        <v>102</v>
      </c>
      <c r="G734" s="26" t="s">
        <v>55</v>
      </c>
      <c r="H734" s="26" t="s">
        <v>491</v>
      </c>
      <c r="I734" s="26" t="s">
        <v>2242</v>
      </c>
      <c r="J734" s="22">
        <v>15</v>
      </c>
      <c r="L734" s="28" t="s">
        <v>211</v>
      </c>
      <c r="M734" s="22" t="s">
        <v>77</v>
      </c>
      <c r="N734" s="22">
        <v>0</v>
      </c>
      <c r="O734" s="22" t="s">
        <v>59</v>
      </c>
      <c r="P734" s="22" t="s">
        <v>78</v>
      </c>
      <c r="S734" s="24" t="s">
        <v>2120</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2240</v>
      </c>
    </row>
    <row r="735" spans="1:70" ht="14.25" x14ac:dyDescent="0.2">
      <c r="A735" s="91">
        <v>803</v>
      </c>
      <c r="B735" s="229" t="s">
        <v>2239</v>
      </c>
      <c r="C735" s="263" t="s">
        <v>2238</v>
      </c>
      <c r="D735" s="229" t="s">
        <v>2249</v>
      </c>
      <c r="E735" s="3" t="s">
        <v>338</v>
      </c>
      <c r="F735" s="26" t="s">
        <v>102</v>
      </c>
      <c r="G735" s="26" t="s">
        <v>55</v>
      </c>
      <c r="H735" s="26" t="s">
        <v>491</v>
      </c>
      <c r="I735" s="26" t="s">
        <v>2247</v>
      </c>
      <c r="J735" s="22">
        <v>15</v>
      </c>
      <c r="L735" s="28" t="s">
        <v>211</v>
      </c>
      <c r="M735" s="22" t="s">
        <v>77</v>
      </c>
      <c r="N735" s="22">
        <v>360.5</v>
      </c>
      <c r="O735" s="22" t="s">
        <v>59</v>
      </c>
      <c r="P735" s="22" t="s">
        <v>78</v>
      </c>
      <c r="S735" s="24" t="s">
        <v>2120</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2240</v>
      </c>
    </row>
    <row r="736" spans="1:70" ht="14.25" x14ac:dyDescent="0.2">
      <c r="A736" s="91">
        <v>804</v>
      </c>
      <c r="B736" s="229" t="s">
        <v>2239</v>
      </c>
      <c r="C736" s="263" t="s">
        <v>2238</v>
      </c>
      <c r="D736" s="229" t="s">
        <v>2243</v>
      </c>
      <c r="E736" s="3" t="s">
        <v>2185</v>
      </c>
      <c r="F736" s="26" t="s">
        <v>102</v>
      </c>
      <c r="G736" s="26" t="s">
        <v>55</v>
      </c>
      <c r="H736" s="26" t="s">
        <v>65</v>
      </c>
      <c r="J736" s="22">
        <v>600</v>
      </c>
      <c r="L736" s="28" t="s">
        <v>57</v>
      </c>
      <c r="M736" s="22" t="s">
        <v>58</v>
      </c>
      <c r="N736" s="22">
        <v>0</v>
      </c>
      <c r="O736" s="22" t="s">
        <v>59</v>
      </c>
      <c r="P736" s="22" t="s">
        <v>1497</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2240</v>
      </c>
    </row>
    <row r="737" spans="1:70" ht="14.25" x14ac:dyDescent="0.2">
      <c r="A737" s="91">
        <v>805</v>
      </c>
      <c r="B737" s="229" t="s">
        <v>2239</v>
      </c>
      <c r="C737" s="263" t="s">
        <v>2238</v>
      </c>
      <c r="D737" s="229" t="s">
        <v>2244</v>
      </c>
      <c r="E737" s="3" t="s">
        <v>2185</v>
      </c>
      <c r="F737" s="26" t="s">
        <v>102</v>
      </c>
      <c r="G737" s="26" t="s">
        <v>55</v>
      </c>
      <c r="H737" s="26" t="s">
        <v>65</v>
      </c>
      <c r="I737" s="26" t="s">
        <v>2245</v>
      </c>
      <c r="J737" s="22">
        <v>600</v>
      </c>
      <c r="L737" s="28" t="s">
        <v>57</v>
      </c>
      <c r="M737" s="22" t="s">
        <v>58</v>
      </c>
      <c r="N737" s="22" t="s">
        <v>2246</v>
      </c>
      <c r="O737" s="22" t="s">
        <v>59</v>
      </c>
      <c r="P737" s="22" t="s">
        <v>1497</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2240</v>
      </c>
    </row>
    <row r="738" spans="1:70" x14ac:dyDescent="0.2">
      <c r="A738" s="253">
        <v>1001</v>
      </c>
      <c r="B738" s="229" t="s">
        <v>2091</v>
      </c>
      <c r="C738" s="259" t="s">
        <v>2092</v>
      </c>
      <c r="D738" s="229" t="s">
        <v>2262</v>
      </c>
      <c r="E738" s="3" t="s">
        <v>2037</v>
      </c>
      <c r="F738" s="26" t="s">
        <v>102</v>
      </c>
      <c r="G738" s="26" t="s">
        <v>55</v>
      </c>
      <c r="H738" s="26" t="s">
        <v>2257</v>
      </c>
      <c r="J738" s="22">
        <v>1</v>
      </c>
      <c r="L738" s="28" t="s">
        <v>57</v>
      </c>
      <c r="M738" s="22" t="s">
        <v>58</v>
      </c>
      <c r="N738" s="22">
        <v>96</v>
      </c>
      <c r="O738" s="22" t="s">
        <v>59</v>
      </c>
      <c r="P738" s="22" t="s">
        <v>2794</v>
      </c>
      <c r="R738" s="23" t="s">
        <v>2258</v>
      </c>
      <c r="V738" s="25" t="s">
        <v>613</v>
      </c>
      <c r="W738" s="65" t="s">
        <v>653</v>
      </c>
      <c r="X738" s="106">
        <v>4</v>
      </c>
      <c r="Y738" s="25" t="s">
        <v>2263</v>
      </c>
      <c r="Z738" s="83" t="s">
        <v>62</v>
      </c>
      <c r="AA738" s="6" t="s">
        <v>2264</v>
      </c>
      <c r="AD738" s="5" t="s">
        <v>1393</v>
      </c>
      <c r="AI738" s="5" t="s">
        <v>2259</v>
      </c>
      <c r="AJ738" s="5" t="s">
        <v>2260</v>
      </c>
      <c r="BQ738" s="6" t="s">
        <v>194</v>
      </c>
      <c r="BR738" s="5" t="s">
        <v>2261</v>
      </c>
    </row>
    <row r="739" spans="1:70" x14ac:dyDescent="0.2">
      <c r="A739" s="253">
        <v>1002</v>
      </c>
      <c r="B739" s="229" t="s">
        <v>2091</v>
      </c>
      <c r="C739" s="259" t="s">
        <v>2092</v>
      </c>
      <c r="D739" s="229" t="s">
        <v>2265</v>
      </c>
      <c r="E739" s="3" t="s">
        <v>2037</v>
      </c>
      <c r="F739" s="26" t="s">
        <v>102</v>
      </c>
      <c r="G739" s="26" t="s">
        <v>55</v>
      </c>
      <c r="H739" s="26" t="s">
        <v>2257</v>
      </c>
      <c r="J739" s="22">
        <v>1</v>
      </c>
      <c r="L739" s="28" t="s">
        <v>57</v>
      </c>
      <c r="M739" s="22" t="s">
        <v>58</v>
      </c>
      <c r="N739" s="22">
        <v>48</v>
      </c>
      <c r="O739" s="22" t="s">
        <v>59</v>
      </c>
      <c r="P739" s="22" t="s">
        <v>2795</v>
      </c>
      <c r="R739" s="23" t="s">
        <v>2258</v>
      </c>
      <c r="V739" s="25" t="s">
        <v>613</v>
      </c>
      <c r="W739" s="65" t="s">
        <v>653</v>
      </c>
      <c r="X739" s="106">
        <v>4</v>
      </c>
      <c r="Y739" s="25" t="s">
        <v>2263</v>
      </c>
      <c r="Z739" s="83" t="s">
        <v>62</v>
      </c>
      <c r="AA739" s="6" t="s">
        <v>2264</v>
      </c>
      <c r="AD739" s="5" t="s">
        <v>1393</v>
      </c>
      <c r="AI739" s="5" t="s">
        <v>2259</v>
      </c>
      <c r="AJ739" s="5" t="s">
        <v>2260</v>
      </c>
      <c r="BQ739" s="6" t="s">
        <v>194</v>
      </c>
      <c r="BR739" s="5" t="s">
        <v>2261</v>
      </c>
    </row>
    <row r="740" spans="1:70" x14ac:dyDescent="0.2">
      <c r="A740" s="253">
        <v>1004</v>
      </c>
      <c r="B740" s="229" t="s">
        <v>2029</v>
      </c>
      <c r="C740" s="259" t="s">
        <v>2030</v>
      </c>
      <c r="D740" s="229" t="s">
        <v>2958</v>
      </c>
      <c r="E740" s="3" t="s">
        <v>1958</v>
      </c>
      <c r="F740" s="26" t="s">
        <v>102</v>
      </c>
      <c r="G740" s="26" t="s">
        <v>55</v>
      </c>
      <c r="H740" s="26" t="s">
        <v>2266</v>
      </c>
      <c r="J740" s="22">
        <v>0.5</v>
      </c>
      <c r="L740" s="28" t="s">
        <v>57</v>
      </c>
      <c r="M740" s="22" t="s">
        <v>58</v>
      </c>
      <c r="N740" s="22">
        <v>113</v>
      </c>
      <c r="O740" s="22" t="s">
        <v>59</v>
      </c>
      <c r="P740" s="22" t="s">
        <v>78</v>
      </c>
      <c r="R740" s="23" t="s">
        <v>2267</v>
      </c>
      <c r="T740" s="23">
        <v>150</v>
      </c>
      <c r="V740" s="25" t="s">
        <v>613</v>
      </c>
      <c r="W740" s="65">
        <v>2</v>
      </c>
      <c r="X740" s="106" t="s">
        <v>415</v>
      </c>
      <c r="Y740" s="25" t="s">
        <v>2268</v>
      </c>
      <c r="Z740" s="83" t="s">
        <v>62</v>
      </c>
      <c r="AA740" s="6">
        <v>10</v>
      </c>
      <c r="AB740" s="6">
        <v>4</v>
      </c>
      <c r="AD740" s="5" t="s">
        <v>79</v>
      </c>
      <c r="AI740" s="5">
        <v>19</v>
      </c>
      <c r="AJ740" s="5">
        <v>25</v>
      </c>
      <c r="AL740" s="6" t="s">
        <v>80</v>
      </c>
      <c r="AQ740" s="6">
        <v>53</v>
      </c>
      <c r="AR740" s="6">
        <v>90</v>
      </c>
      <c r="BQ740" s="6" t="s">
        <v>353</v>
      </c>
      <c r="BR740" s="5" t="s">
        <v>2269</v>
      </c>
    </row>
    <row r="741" spans="1:70" x14ac:dyDescent="0.2">
      <c r="A741" s="253">
        <v>1005</v>
      </c>
      <c r="B741" s="229" t="s">
        <v>2029</v>
      </c>
      <c r="C741" s="259" t="s">
        <v>2030</v>
      </c>
      <c r="D741" s="229" t="s">
        <v>2959</v>
      </c>
      <c r="E741" s="3" t="s">
        <v>1958</v>
      </c>
      <c r="F741" s="26" t="s">
        <v>102</v>
      </c>
      <c r="G741" s="26" t="s">
        <v>75</v>
      </c>
      <c r="H741" s="26" t="s">
        <v>65</v>
      </c>
      <c r="J741" s="22">
        <v>0.5</v>
      </c>
      <c r="L741" s="28" t="s">
        <v>57</v>
      </c>
      <c r="M741" s="22" t="s">
        <v>58</v>
      </c>
      <c r="N741" s="22">
        <v>0</v>
      </c>
      <c r="O741" s="22" t="s">
        <v>59</v>
      </c>
      <c r="P741" s="22" t="s">
        <v>78</v>
      </c>
      <c r="R741" s="23" t="s">
        <v>2267</v>
      </c>
      <c r="T741" s="23">
        <v>150</v>
      </c>
      <c r="V741" s="25" t="s">
        <v>613</v>
      </c>
      <c r="W741" s="65">
        <v>2</v>
      </c>
      <c r="X741" s="106" t="s">
        <v>415</v>
      </c>
      <c r="Y741" s="25" t="s">
        <v>2268</v>
      </c>
      <c r="Z741" s="83" t="s">
        <v>62</v>
      </c>
      <c r="AA741" s="6">
        <v>1</v>
      </c>
      <c r="AB741" s="6">
        <v>0</v>
      </c>
      <c r="BQ741" s="6" t="s">
        <v>353</v>
      </c>
    </row>
    <row r="742" spans="1:70" x14ac:dyDescent="0.2">
      <c r="A742" s="253">
        <v>1006</v>
      </c>
      <c r="B742" s="229" t="s">
        <v>2029</v>
      </c>
      <c r="C742" s="259" t="s">
        <v>2030</v>
      </c>
      <c r="D742" s="229" t="s">
        <v>2960</v>
      </c>
      <c r="E742" s="3" t="s">
        <v>1958</v>
      </c>
      <c r="F742" s="26" t="s">
        <v>102</v>
      </c>
      <c r="G742" s="26" t="s">
        <v>75</v>
      </c>
      <c r="H742" s="26" t="s">
        <v>65</v>
      </c>
      <c r="J742" s="22">
        <v>0.5</v>
      </c>
      <c r="L742" s="28" t="s">
        <v>57</v>
      </c>
      <c r="M742" s="22" t="s">
        <v>58</v>
      </c>
      <c r="N742" s="22">
        <v>0</v>
      </c>
      <c r="O742" s="22" t="s">
        <v>59</v>
      </c>
      <c r="P742" s="22" t="s">
        <v>78</v>
      </c>
      <c r="R742" s="23" t="s">
        <v>2267</v>
      </c>
      <c r="T742" s="23">
        <v>150</v>
      </c>
      <c r="V742" s="25" t="s">
        <v>613</v>
      </c>
      <c r="W742" s="65">
        <v>2</v>
      </c>
      <c r="X742" s="106" t="s">
        <v>415</v>
      </c>
      <c r="Y742" s="25" t="s">
        <v>2268</v>
      </c>
      <c r="Z742" s="83" t="s">
        <v>62</v>
      </c>
      <c r="AA742" s="6">
        <v>1</v>
      </c>
      <c r="AB742" s="6">
        <v>1</v>
      </c>
      <c r="BQ742" s="6" t="s">
        <v>353</v>
      </c>
    </row>
    <row r="743" spans="1:70" x14ac:dyDescent="0.2">
      <c r="A743" s="253">
        <v>1007</v>
      </c>
      <c r="B743" s="229" t="s">
        <v>2029</v>
      </c>
      <c r="C743" s="259" t="s">
        <v>2030</v>
      </c>
      <c r="D743" s="229" t="s">
        <v>2961</v>
      </c>
      <c r="E743" s="3" t="s">
        <v>1958</v>
      </c>
      <c r="F743" s="26" t="s">
        <v>102</v>
      </c>
      <c r="G743" s="26" t="s">
        <v>75</v>
      </c>
      <c r="H743" s="26" t="s">
        <v>65</v>
      </c>
      <c r="J743" s="22">
        <v>0.5</v>
      </c>
      <c r="L743" s="28" t="s">
        <v>57</v>
      </c>
      <c r="M743" s="22" t="s">
        <v>58</v>
      </c>
      <c r="N743" s="22">
        <v>0</v>
      </c>
      <c r="O743" s="22" t="s">
        <v>59</v>
      </c>
      <c r="P743" s="22" t="s">
        <v>78</v>
      </c>
      <c r="R743" s="23" t="s">
        <v>2267</v>
      </c>
      <c r="T743" s="23">
        <v>150</v>
      </c>
      <c r="V743" s="25" t="s">
        <v>613</v>
      </c>
      <c r="W743" s="65">
        <v>2</v>
      </c>
      <c r="X743" s="106" t="s">
        <v>415</v>
      </c>
      <c r="Y743" s="25" t="s">
        <v>2268</v>
      </c>
      <c r="Z743" s="83" t="s">
        <v>62</v>
      </c>
      <c r="AA743" s="6">
        <v>1</v>
      </c>
      <c r="AB743" s="6">
        <v>1</v>
      </c>
      <c r="BQ743" s="6" t="s">
        <v>353</v>
      </c>
    </row>
    <row r="744" spans="1:70" x14ac:dyDescent="0.2">
      <c r="A744" s="253">
        <v>1008</v>
      </c>
      <c r="B744" s="229" t="s">
        <v>2029</v>
      </c>
      <c r="C744" s="259" t="s">
        <v>2030</v>
      </c>
      <c r="D744" s="229" t="s">
        <v>2962</v>
      </c>
      <c r="E744" s="3" t="s">
        <v>1958</v>
      </c>
      <c r="F744" s="26" t="s">
        <v>102</v>
      </c>
      <c r="G744" s="26" t="s">
        <v>75</v>
      </c>
      <c r="H744" s="26" t="s">
        <v>65</v>
      </c>
      <c r="J744" s="22">
        <v>0.5</v>
      </c>
      <c r="L744" s="28" t="s">
        <v>57</v>
      </c>
      <c r="M744" s="22" t="s">
        <v>58</v>
      </c>
      <c r="N744" s="22">
        <v>0</v>
      </c>
      <c r="O744" s="22" t="s">
        <v>59</v>
      </c>
      <c r="P744" s="22" t="s">
        <v>78</v>
      </c>
      <c r="R744" s="23" t="s">
        <v>2267</v>
      </c>
      <c r="T744" s="23">
        <v>150</v>
      </c>
      <c r="V744" s="25" t="s">
        <v>613</v>
      </c>
      <c r="W744" s="65">
        <v>2</v>
      </c>
      <c r="X744" s="106" t="s">
        <v>415</v>
      </c>
      <c r="Y744" s="25" t="s">
        <v>2268</v>
      </c>
      <c r="Z744" s="83" t="s">
        <v>62</v>
      </c>
      <c r="AA744" s="6">
        <v>1</v>
      </c>
      <c r="AB744" s="6">
        <v>0</v>
      </c>
      <c r="BQ744" s="6" t="s">
        <v>353</v>
      </c>
    </row>
    <row r="745" spans="1:70" x14ac:dyDescent="0.2">
      <c r="A745" s="253">
        <v>1009</v>
      </c>
      <c r="B745" s="229" t="s">
        <v>2029</v>
      </c>
      <c r="C745" s="259" t="s">
        <v>2030</v>
      </c>
      <c r="D745" s="229" t="s">
        <v>2963</v>
      </c>
      <c r="E745" s="3" t="s">
        <v>1958</v>
      </c>
      <c r="F745" s="26" t="s">
        <v>102</v>
      </c>
      <c r="G745" s="26" t="s">
        <v>75</v>
      </c>
      <c r="H745" s="26" t="s">
        <v>65</v>
      </c>
      <c r="J745" s="22">
        <v>0.5</v>
      </c>
      <c r="L745" s="28" t="s">
        <v>57</v>
      </c>
      <c r="M745" s="176" t="s">
        <v>58</v>
      </c>
      <c r="N745" s="22">
        <v>0</v>
      </c>
      <c r="O745" s="22" t="s">
        <v>59</v>
      </c>
      <c r="P745" s="22" t="s">
        <v>78</v>
      </c>
      <c r="R745" s="177" t="s">
        <v>2267</v>
      </c>
      <c r="T745" s="23">
        <v>150</v>
      </c>
      <c r="V745" s="165" t="s">
        <v>613</v>
      </c>
      <c r="W745" s="65">
        <v>2</v>
      </c>
      <c r="X745" s="106" t="s">
        <v>415</v>
      </c>
      <c r="Y745" s="25" t="s">
        <v>2268</v>
      </c>
      <c r="Z745" s="83" t="s">
        <v>62</v>
      </c>
      <c r="AA745" s="6">
        <v>1</v>
      </c>
      <c r="AB745" s="6">
        <v>0</v>
      </c>
      <c r="BQ745" s="6" t="s">
        <v>353</v>
      </c>
    </row>
    <row r="746" spans="1:70" x14ac:dyDescent="0.2">
      <c r="A746" s="253">
        <v>1010</v>
      </c>
      <c r="B746" s="229" t="s">
        <v>2029</v>
      </c>
      <c r="C746" s="259" t="s">
        <v>2030</v>
      </c>
      <c r="D746" s="229" t="s">
        <v>2964</v>
      </c>
      <c r="E746" s="3" t="s">
        <v>1958</v>
      </c>
      <c r="F746" s="26" t="s">
        <v>102</v>
      </c>
      <c r="G746" s="26" t="s">
        <v>75</v>
      </c>
      <c r="H746" s="179" t="s">
        <v>65</v>
      </c>
      <c r="J746" s="22">
        <v>0.5</v>
      </c>
      <c r="L746" s="28" t="s">
        <v>57</v>
      </c>
      <c r="M746" s="176" t="s">
        <v>58</v>
      </c>
      <c r="N746" s="22">
        <v>0</v>
      </c>
      <c r="O746" s="22" t="s">
        <v>59</v>
      </c>
      <c r="P746" s="22" t="s">
        <v>78</v>
      </c>
      <c r="R746" s="177" t="s">
        <v>2267</v>
      </c>
      <c r="T746" s="23">
        <v>150</v>
      </c>
      <c r="V746" s="165" t="s">
        <v>613</v>
      </c>
      <c r="W746" s="65">
        <v>2</v>
      </c>
      <c r="X746" s="106" t="s">
        <v>415</v>
      </c>
      <c r="Y746" s="25" t="s">
        <v>2268</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2029</v>
      </c>
      <c r="C747" s="259" t="s">
        <v>2030</v>
      </c>
      <c r="D747" s="229" t="s">
        <v>2965</v>
      </c>
      <c r="E747" s="3" t="s">
        <v>1958</v>
      </c>
      <c r="F747" s="26" t="s">
        <v>102</v>
      </c>
      <c r="G747" s="26" t="s">
        <v>75</v>
      </c>
      <c r="H747" s="26" t="s">
        <v>65</v>
      </c>
      <c r="J747" s="22">
        <v>0.5</v>
      </c>
      <c r="L747" s="28" t="s">
        <v>57</v>
      </c>
      <c r="M747" s="22" t="s">
        <v>58</v>
      </c>
      <c r="N747" s="22">
        <v>0</v>
      </c>
      <c r="O747" s="22" t="s">
        <v>59</v>
      </c>
      <c r="P747" s="22" t="s">
        <v>78</v>
      </c>
      <c r="R747" s="23" t="s">
        <v>2267</v>
      </c>
      <c r="T747" s="23">
        <v>150</v>
      </c>
      <c r="V747" s="25" t="s">
        <v>613</v>
      </c>
      <c r="W747" s="65">
        <v>2</v>
      </c>
      <c r="X747" s="106" t="s">
        <v>415</v>
      </c>
      <c r="Y747" s="25" t="s">
        <v>2268</v>
      </c>
      <c r="Z747" s="83" t="s">
        <v>62</v>
      </c>
      <c r="AA747" s="6">
        <v>1</v>
      </c>
      <c r="AB747" s="6">
        <v>1</v>
      </c>
      <c r="AE747" s="163"/>
      <c r="AG747" s="163"/>
      <c r="AH747" s="163"/>
      <c r="AM747" s="164"/>
      <c r="AO747" s="164"/>
      <c r="AP747" s="164"/>
      <c r="BQ747" s="6" t="s">
        <v>353</v>
      </c>
    </row>
    <row r="748" spans="1:70" x14ac:dyDescent="0.2">
      <c r="A748" s="253">
        <v>1012</v>
      </c>
      <c r="B748" s="229" t="s">
        <v>2029</v>
      </c>
      <c r="C748" s="259" t="s">
        <v>2030</v>
      </c>
      <c r="D748" s="229" t="s">
        <v>2966</v>
      </c>
      <c r="E748" s="123" t="s">
        <v>1958</v>
      </c>
      <c r="F748" s="179" t="s">
        <v>102</v>
      </c>
      <c r="G748" s="26" t="s">
        <v>75</v>
      </c>
      <c r="H748" s="179" t="s">
        <v>65</v>
      </c>
      <c r="I748" s="179"/>
      <c r="J748" s="22">
        <v>0.5</v>
      </c>
      <c r="L748" s="180" t="s">
        <v>57</v>
      </c>
      <c r="M748" s="22" t="s">
        <v>58</v>
      </c>
      <c r="N748" s="22">
        <v>0</v>
      </c>
      <c r="O748" s="22" t="s">
        <v>59</v>
      </c>
      <c r="P748" s="22" t="s">
        <v>78</v>
      </c>
      <c r="R748" s="23" t="s">
        <v>2267</v>
      </c>
      <c r="T748" s="23">
        <v>150</v>
      </c>
      <c r="V748" s="25" t="s">
        <v>613</v>
      </c>
      <c r="W748" s="65">
        <v>2</v>
      </c>
      <c r="X748" s="106" t="s">
        <v>415</v>
      </c>
      <c r="Y748" s="25" t="s">
        <v>2268</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2270</v>
      </c>
    </row>
    <row r="749" spans="1:70" x14ac:dyDescent="0.2">
      <c r="A749" s="253">
        <v>1013</v>
      </c>
      <c r="B749" s="229" t="s">
        <v>2029</v>
      </c>
      <c r="C749" s="259" t="s">
        <v>2030</v>
      </c>
      <c r="D749" s="229" t="s">
        <v>2967</v>
      </c>
      <c r="E749" s="123" t="s">
        <v>1958</v>
      </c>
      <c r="F749" s="179" t="s">
        <v>102</v>
      </c>
      <c r="G749" s="26" t="s">
        <v>75</v>
      </c>
      <c r="H749" s="179" t="s">
        <v>65</v>
      </c>
      <c r="I749" s="179"/>
      <c r="J749" s="22">
        <v>0.5</v>
      </c>
      <c r="L749" s="180" t="s">
        <v>57</v>
      </c>
      <c r="M749" s="22" t="s">
        <v>58</v>
      </c>
      <c r="N749" s="22">
        <v>0</v>
      </c>
      <c r="O749" s="22" t="s">
        <v>59</v>
      </c>
      <c r="P749" s="22" t="s">
        <v>78</v>
      </c>
      <c r="R749" s="23" t="s">
        <v>2267</v>
      </c>
      <c r="T749" s="23">
        <v>150</v>
      </c>
      <c r="V749" s="25" t="s">
        <v>613</v>
      </c>
      <c r="W749" s="65">
        <v>2</v>
      </c>
      <c r="X749" s="106" t="s">
        <v>415</v>
      </c>
      <c r="Y749" s="25" t="s">
        <v>2268</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2029</v>
      </c>
      <c r="C750" s="259" t="s">
        <v>2030</v>
      </c>
      <c r="D750" s="229" t="s">
        <v>2968</v>
      </c>
      <c r="E750" s="123" t="s">
        <v>1958</v>
      </c>
      <c r="F750" s="179" t="s">
        <v>102</v>
      </c>
      <c r="G750" s="179" t="s">
        <v>75</v>
      </c>
      <c r="H750" s="179" t="s">
        <v>65</v>
      </c>
      <c r="I750" s="179"/>
      <c r="J750" s="176">
        <v>0.5</v>
      </c>
      <c r="K750" s="180"/>
      <c r="L750" s="180" t="s">
        <v>57</v>
      </c>
      <c r="M750" s="176" t="s">
        <v>58</v>
      </c>
      <c r="N750" s="176">
        <v>0</v>
      </c>
      <c r="O750" s="176" t="s">
        <v>59</v>
      </c>
      <c r="P750" s="176" t="s">
        <v>78</v>
      </c>
      <c r="Q750" s="177"/>
      <c r="R750" s="177" t="s">
        <v>2267</v>
      </c>
      <c r="S750" s="178"/>
      <c r="T750" s="177">
        <v>150</v>
      </c>
      <c r="U750" s="177"/>
      <c r="V750" s="165" t="s">
        <v>613</v>
      </c>
      <c r="W750" s="166">
        <v>2</v>
      </c>
      <c r="X750" s="106" t="s">
        <v>415</v>
      </c>
      <c r="Y750" s="165" t="s">
        <v>2268</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2029</v>
      </c>
      <c r="C751" s="259" t="s">
        <v>2030</v>
      </c>
      <c r="D751" s="229" t="s">
        <v>2969</v>
      </c>
      <c r="E751" s="3" t="s">
        <v>1958</v>
      </c>
      <c r="F751" s="26" t="s">
        <v>102</v>
      </c>
      <c r="G751" s="26" t="s">
        <v>75</v>
      </c>
      <c r="H751" s="26" t="s">
        <v>65</v>
      </c>
      <c r="J751" s="22">
        <v>0.5</v>
      </c>
      <c r="L751" s="28" t="s">
        <v>57</v>
      </c>
      <c r="M751" s="22" t="s">
        <v>58</v>
      </c>
      <c r="N751" s="22">
        <v>113</v>
      </c>
      <c r="O751" s="22" t="s">
        <v>59</v>
      </c>
      <c r="P751" s="22" t="s">
        <v>78</v>
      </c>
      <c r="R751" s="23" t="s">
        <v>2267</v>
      </c>
      <c r="T751" s="23">
        <v>150</v>
      </c>
      <c r="V751" s="25" t="s">
        <v>613</v>
      </c>
      <c r="W751" s="65">
        <v>2</v>
      </c>
      <c r="X751" s="106" t="s">
        <v>415</v>
      </c>
      <c r="Y751" s="25" t="s">
        <v>2268</v>
      </c>
      <c r="Z751" s="83" t="s">
        <v>62</v>
      </c>
      <c r="AA751" s="6">
        <v>1</v>
      </c>
      <c r="AB751" s="6">
        <v>0</v>
      </c>
      <c r="BB751" s="164"/>
      <c r="BQ751" s="6" t="s">
        <v>353</v>
      </c>
    </row>
    <row r="752" spans="1:70" x14ac:dyDescent="0.2">
      <c r="A752" s="253">
        <v>1016</v>
      </c>
      <c r="B752" s="229" t="s">
        <v>2029</v>
      </c>
      <c r="C752" s="259" t="s">
        <v>2030</v>
      </c>
      <c r="D752" s="229" t="s">
        <v>2970</v>
      </c>
      <c r="E752" s="3" t="s">
        <v>1958</v>
      </c>
      <c r="F752" s="26" t="s">
        <v>102</v>
      </c>
      <c r="G752" s="26" t="s">
        <v>75</v>
      </c>
      <c r="H752" s="179" t="s">
        <v>65</v>
      </c>
      <c r="J752" s="22">
        <v>0.5</v>
      </c>
      <c r="L752" s="180" t="s">
        <v>57</v>
      </c>
      <c r="M752" s="176" t="s">
        <v>58</v>
      </c>
      <c r="N752" s="176">
        <v>113</v>
      </c>
      <c r="O752" s="176" t="s">
        <v>59</v>
      </c>
      <c r="P752" s="176" t="s">
        <v>78</v>
      </c>
      <c r="Q752" s="177"/>
      <c r="R752" s="177" t="s">
        <v>2267</v>
      </c>
      <c r="S752" s="178"/>
      <c r="T752" s="177">
        <v>150</v>
      </c>
      <c r="U752" s="177"/>
      <c r="V752" s="165" t="s">
        <v>613</v>
      </c>
      <c r="W752" s="166">
        <v>2</v>
      </c>
      <c r="X752" s="106" t="s">
        <v>415</v>
      </c>
      <c r="Y752" s="165" t="s">
        <v>2268</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2029</v>
      </c>
      <c r="C753" s="259" t="s">
        <v>2030</v>
      </c>
      <c r="D753" s="229" t="s">
        <v>2971</v>
      </c>
      <c r="E753" s="3" t="s">
        <v>1958</v>
      </c>
      <c r="F753" s="26" t="s">
        <v>102</v>
      </c>
      <c r="G753" s="26" t="s">
        <v>75</v>
      </c>
      <c r="H753" s="179" t="s">
        <v>65</v>
      </c>
      <c r="J753" s="22">
        <v>0.5</v>
      </c>
      <c r="L753" s="180" t="s">
        <v>57</v>
      </c>
      <c r="M753" s="176" t="s">
        <v>58</v>
      </c>
      <c r="N753" s="176">
        <v>113</v>
      </c>
      <c r="O753" s="176" t="s">
        <v>59</v>
      </c>
      <c r="P753" s="176" t="s">
        <v>78</v>
      </c>
      <c r="Q753" s="177"/>
      <c r="R753" s="177" t="s">
        <v>2267</v>
      </c>
      <c r="S753" s="178"/>
      <c r="T753" s="177">
        <v>150</v>
      </c>
      <c r="U753" s="177"/>
      <c r="V753" s="165" t="s">
        <v>613</v>
      </c>
      <c r="W753" s="166">
        <v>2</v>
      </c>
      <c r="X753" s="106" t="s">
        <v>415</v>
      </c>
      <c r="Y753" s="165" t="s">
        <v>2268</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2029</v>
      </c>
      <c r="C754" s="259" t="s">
        <v>2030</v>
      </c>
      <c r="D754" s="229" t="s">
        <v>2972</v>
      </c>
      <c r="E754" s="3" t="s">
        <v>1958</v>
      </c>
      <c r="F754" s="26" t="s">
        <v>102</v>
      </c>
      <c r="G754" s="26" t="s">
        <v>75</v>
      </c>
      <c r="H754" s="26" t="s">
        <v>65</v>
      </c>
      <c r="J754" s="22">
        <v>0.5</v>
      </c>
      <c r="K754" s="180"/>
      <c r="L754" s="180" t="s">
        <v>57</v>
      </c>
      <c r="M754" s="22" t="s">
        <v>58</v>
      </c>
      <c r="N754" s="22">
        <v>113</v>
      </c>
      <c r="O754" s="22" t="s">
        <v>59</v>
      </c>
      <c r="P754" s="22" t="s">
        <v>78</v>
      </c>
      <c r="R754" s="23" t="s">
        <v>2267</v>
      </c>
      <c r="T754" s="23">
        <v>150</v>
      </c>
      <c r="V754" s="25" t="s">
        <v>613</v>
      </c>
      <c r="W754" s="65">
        <v>2</v>
      </c>
      <c r="X754" s="106" t="s">
        <v>415</v>
      </c>
      <c r="Y754" s="25" t="s">
        <v>2268</v>
      </c>
      <c r="Z754" s="83" t="s">
        <v>62</v>
      </c>
      <c r="AA754" s="6">
        <v>1</v>
      </c>
      <c r="AB754" s="6">
        <v>0</v>
      </c>
      <c r="AM754" s="164"/>
      <c r="BB754" s="164"/>
      <c r="BC754" s="164"/>
      <c r="BQ754" s="6" t="s">
        <v>353</v>
      </c>
    </row>
    <row r="755" spans="1:70" x14ac:dyDescent="0.2">
      <c r="A755" s="253">
        <v>1019</v>
      </c>
      <c r="B755" s="229" t="s">
        <v>2029</v>
      </c>
      <c r="C755" s="259" t="s">
        <v>2030</v>
      </c>
      <c r="D755" s="229" t="s">
        <v>2973</v>
      </c>
      <c r="E755" s="3" t="s">
        <v>1958</v>
      </c>
      <c r="F755" s="26" t="s">
        <v>102</v>
      </c>
      <c r="G755" s="26" t="s">
        <v>75</v>
      </c>
      <c r="H755" s="26" t="s">
        <v>65</v>
      </c>
      <c r="J755" s="22">
        <v>0.5</v>
      </c>
      <c r="K755" s="180"/>
      <c r="L755" s="180" t="s">
        <v>57</v>
      </c>
      <c r="M755" s="176" t="s">
        <v>58</v>
      </c>
      <c r="N755" s="22">
        <v>113</v>
      </c>
      <c r="O755" s="22" t="s">
        <v>59</v>
      </c>
      <c r="P755" s="22" t="s">
        <v>78</v>
      </c>
      <c r="R755" s="23" t="s">
        <v>2267</v>
      </c>
      <c r="T755" s="23">
        <v>150</v>
      </c>
      <c r="V755" s="25" t="s">
        <v>613</v>
      </c>
      <c r="W755" s="65">
        <v>2</v>
      </c>
      <c r="X755" s="106" t="s">
        <v>415</v>
      </c>
      <c r="Y755" s="25" t="s">
        <v>2268</v>
      </c>
      <c r="Z755" s="83" t="s">
        <v>62</v>
      </c>
      <c r="AA755" s="6">
        <v>1</v>
      </c>
      <c r="AB755" s="6">
        <v>0</v>
      </c>
      <c r="AE755" s="163"/>
      <c r="AM755" s="164"/>
      <c r="AU755" s="163"/>
      <c r="BB755" s="164"/>
      <c r="BQ755" s="6" t="s">
        <v>353</v>
      </c>
    </row>
    <row r="756" spans="1:70" x14ac:dyDescent="0.2">
      <c r="A756" s="253">
        <v>1020</v>
      </c>
      <c r="B756" s="229" t="s">
        <v>2029</v>
      </c>
      <c r="C756" s="259" t="s">
        <v>2030</v>
      </c>
      <c r="D756" s="229" t="s">
        <v>2974</v>
      </c>
      <c r="E756" s="3" t="s">
        <v>1958</v>
      </c>
      <c r="F756" s="26" t="s">
        <v>102</v>
      </c>
      <c r="G756" s="26" t="s">
        <v>75</v>
      </c>
      <c r="H756" s="26" t="s">
        <v>65</v>
      </c>
      <c r="J756" s="22">
        <v>0.5</v>
      </c>
      <c r="K756" s="180"/>
      <c r="L756" s="180" t="s">
        <v>57</v>
      </c>
      <c r="M756" s="176" t="s">
        <v>58</v>
      </c>
      <c r="N756" s="22">
        <v>113</v>
      </c>
      <c r="O756" s="22" t="s">
        <v>59</v>
      </c>
      <c r="P756" s="22" t="s">
        <v>78</v>
      </c>
      <c r="R756" s="23" t="s">
        <v>2267</v>
      </c>
      <c r="T756" s="23">
        <v>150</v>
      </c>
      <c r="V756" s="25" t="s">
        <v>613</v>
      </c>
      <c r="W756" s="65">
        <v>2</v>
      </c>
      <c r="X756" s="106" t="s">
        <v>415</v>
      </c>
      <c r="Y756" s="25" t="s">
        <v>2268</v>
      </c>
      <c r="Z756" s="83" t="s">
        <v>62</v>
      </c>
      <c r="AA756" s="6">
        <v>1</v>
      </c>
      <c r="AB756" s="6">
        <v>0</v>
      </c>
      <c r="AM756" s="164"/>
      <c r="BQ756" s="6" t="s">
        <v>353</v>
      </c>
      <c r="BR756" s="163"/>
    </row>
    <row r="757" spans="1:70" x14ac:dyDescent="0.2">
      <c r="A757" s="253">
        <v>1021</v>
      </c>
      <c r="B757" s="229" t="s">
        <v>2029</v>
      </c>
      <c r="C757" s="259" t="s">
        <v>2030</v>
      </c>
      <c r="D757" s="229" t="s">
        <v>2975</v>
      </c>
      <c r="E757" s="3" t="s">
        <v>1958</v>
      </c>
      <c r="F757" s="179" t="s">
        <v>102</v>
      </c>
      <c r="G757" s="179" t="s">
        <v>75</v>
      </c>
      <c r="H757" s="179" t="s">
        <v>65</v>
      </c>
      <c r="I757" s="179"/>
      <c r="J757" s="22">
        <v>0.5</v>
      </c>
      <c r="K757" s="180"/>
      <c r="L757" s="180" t="s">
        <v>57</v>
      </c>
      <c r="M757" s="176" t="s">
        <v>58</v>
      </c>
      <c r="N757" s="22">
        <v>113</v>
      </c>
      <c r="O757" s="22" t="s">
        <v>59</v>
      </c>
      <c r="P757" s="22" t="s">
        <v>78</v>
      </c>
      <c r="R757" s="23" t="s">
        <v>2267</v>
      </c>
      <c r="T757" s="23">
        <v>150</v>
      </c>
      <c r="V757" s="165" t="s">
        <v>613</v>
      </c>
      <c r="W757" s="166">
        <v>2</v>
      </c>
      <c r="X757" s="106" t="s">
        <v>415</v>
      </c>
      <c r="Y757" s="25" t="s">
        <v>2268</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2029</v>
      </c>
      <c r="C758" s="259" t="s">
        <v>2030</v>
      </c>
      <c r="D758" s="229" t="s">
        <v>2976</v>
      </c>
      <c r="E758" s="3" t="s">
        <v>1958</v>
      </c>
      <c r="F758" s="179" t="s">
        <v>102</v>
      </c>
      <c r="G758" s="179" t="s">
        <v>75</v>
      </c>
      <c r="H758" s="179" t="s">
        <v>65</v>
      </c>
      <c r="I758" s="179"/>
      <c r="J758" s="22">
        <v>0.5</v>
      </c>
      <c r="L758" s="180" t="s">
        <v>57</v>
      </c>
      <c r="M758" s="176" t="s">
        <v>58</v>
      </c>
      <c r="N758" s="22">
        <v>113</v>
      </c>
      <c r="O758" s="22" t="s">
        <v>59</v>
      </c>
      <c r="P758" s="22" t="s">
        <v>78</v>
      </c>
      <c r="R758" s="23" t="s">
        <v>2267</v>
      </c>
      <c r="T758" s="23">
        <v>150</v>
      </c>
      <c r="V758" s="165" t="s">
        <v>613</v>
      </c>
      <c r="W758" s="166">
        <v>2</v>
      </c>
      <c r="X758" s="106" t="s">
        <v>415</v>
      </c>
      <c r="Y758" s="25" t="s">
        <v>2268</v>
      </c>
      <c r="Z758" s="83" t="s">
        <v>62</v>
      </c>
      <c r="AA758" s="6">
        <v>1</v>
      </c>
      <c r="AB758" s="6">
        <v>1</v>
      </c>
      <c r="AC758" s="163"/>
      <c r="AD758" s="163"/>
      <c r="AE758" s="163"/>
      <c r="AF758" s="163"/>
      <c r="AG758" s="163"/>
      <c r="AH758" s="163"/>
      <c r="AI758" s="163"/>
      <c r="AJ758" s="163"/>
      <c r="BQ758" s="6" t="s">
        <v>353</v>
      </c>
      <c r="BR758" s="163" t="s">
        <v>2270</v>
      </c>
    </row>
    <row r="759" spans="1:70" x14ac:dyDescent="0.2">
      <c r="A759" s="253">
        <v>1023</v>
      </c>
      <c r="B759" s="229" t="s">
        <v>2029</v>
      </c>
      <c r="C759" s="259" t="s">
        <v>2030</v>
      </c>
      <c r="D759" s="229" t="s">
        <v>2977</v>
      </c>
      <c r="E759" s="3" t="s">
        <v>1958</v>
      </c>
      <c r="F759" s="179" t="s">
        <v>102</v>
      </c>
      <c r="G759" s="179" t="s">
        <v>75</v>
      </c>
      <c r="H759" s="179" t="s">
        <v>65</v>
      </c>
      <c r="I759" s="179"/>
      <c r="J759" s="22">
        <v>0.5</v>
      </c>
      <c r="L759" s="180" t="s">
        <v>57</v>
      </c>
      <c r="M759" s="176" t="s">
        <v>58</v>
      </c>
      <c r="N759" s="22">
        <v>113</v>
      </c>
      <c r="O759" s="22" t="s">
        <v>59</v>
      </c>
      <c r="P759" s="22" t="s">
        <v>78</v>
      </c>
      <c r="R759" s="23" t="s">
        <v>2267</v>
      </c>
      <c r="T759" s="23">
        <v>150</v>
      </c>
      <c r="V759" s="165" t="s">
        <v>613</v>
      </c>
      <c r="W759" s="166">
        <v>2</v>
      </c>
      <c r="X759" s="106" t="s">
        <v>415</v>
      </c>
      <c r="Y759" s="25" t="s">
        <v>2268</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2029</v>
      </c>
      <c r="C760" s="259" t="s">
        <v>2030</v>
      </c>
      <c r="D760" s="229" t="s">
        <v>2978</v>
      </c>
      <c r="E760" s="3" t="s">
        <v>1958</v>
      </c>
      <c r="F760" s="26" t="s">
        <v>102</v>
      </c>
      <c r="G760" s="26" t="s">
        <v>75</v>
      </c>
      <c r="H760" s="26" t="s">
        <v>65</v>
      </c>
      <c r="J760" s="22">
        <v>0.5</v>
      </c>
      <c r="L760" s="28" t="s">
        <v>57</v>
      </c>
      <c r="M760" s="176" t="s">
        <v>58</v>
      </c>
      <c r="N760" s="22">
        <v>113</v>
      </c>
      <c r="O760" s="22" t="s">
        <v>59</v>
      </c>
      <c r="P760" s="22" t="s">
        <v>78</v>
      </c>
      <c r="R760" s="23" t="s">
        <v>2267</v>
      </c>
      <c r="T760" s="23">
        <v>150</v>
      </c>
      <c r="V760" s="25" t="s">
        <v>613</v>
      </c>
      <c r="W760" s="65">
        <v>2</v>
      </c>
      <c r="X760" s="106" t="s">
        <v>415</v>
      </c>
      <c r="Y760" s="25" t="s">
        <v>2268</v>
      </c>
      <c r="Z760" s="83" t="s">
        <v>62</v>
      </c>
      <c r="AA760" s="6">
        <v>1</v>
      </c>
      <c r="AB760" s="6">
        <v>0</v>
      </c>
      <c r="BQ760" s="6" t="s">
        <v>353</v>
      </c>
    </row>
    <row r="761" spans="1:70" x14ac:dyDescent="0.2">
      <c r="A761" s="253">
        <v>1025</v>
      </c>
      <c r="B761" s="229" t="s">
        <v>2271</v>
      </c>
      <c r="C761" s="259" t="s">
        <v>2272</v>
      </c>
      <c r="D761" s="229" t="s">
        <v>2273</v>
      </c>
      <c r="E761" s="3" t="s">
        <v>2037</v>
      </c>
      <c r="F761" s="26" t="s">
        <v>102</v>
      </c>
      <c r="G761" s="26" t="s">
        <v>55</v>
      </c>
      <c r="H761" s="179" t="s">
        <v>2274</v>
      </c>
      <c r="J761" s="22">
        <v>0.8</v>
      </c>
      <c r="L761" s="28" t="s">
        <v>57</v>
      </c>
      <c r="M761" s="176" t="s">
        <v>58</v>
      </c>
      <c r="N761" s="22">
        <v>0</v>
      </c>
      <c r="O761" s="22" t="s">
        <v>59</v>
      </c>
      <c r="P761" s="22" t="s">
        <v>78</v>
      </c>
      <c r="R761" s="23" t="s">
        <v>2804</v>
      </c>
      <c r="U761" s="23" t="s">
        <v>2276</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2277</v>
      </c>
    </row>
    <row r="762" spans="1:70" x14ac:dyDescent="0.2">
      <c r="A762" s="253">
        <v>1026</v>
      </c>
      <c r="B762" s="229" t="s">
        <v>2271</v>
      </c>
      <c r="C762" s="259" t="s">
        <v>2272</v>
      </c>
      <c r="D762" s="229" t="s">
        <v>2278</v>
      </c>
      <c r="E762" s="3" t="s">
        <v>2037</v>
      </c>
      <c r="F762" s="26" t="s">
        <v>102</v>
      </c>
      <c r="G762" s="26" t="s">
        <v>55</v>
      </c>
      <c r="H762" s="179" t="s">
        <v>2274</v>
      </c>
      <c r="J762" s="22">
        <v>0.8</v>
      </c>
      <c r="L762" s="28" t="s">
        <v>57</v>
      </c>
      <c r="M762" s="176" t="s">
        <v>58</v>
      </c>
      <c r="N762" s="22">
        <v>73</v>
      </c>
      <c r="O762" s="22" t="s">
        <v>59</v>
      </c>
      <c r="P762" s="22" t="s">
        <v>78</v>
      </c>
      <c r="R762" s="23" t="s">
        <v>2804</v>
      </c>
      <c r="U762" s="23" t="s">
        <v>2276</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2277</v>
      </c>
    </row>
    <row r="763" spans="1:70" x14ac:dyDescent="0.2">
      <c r="A763" s="253">
        <v>1027</v>
      </c>
      <c r="B763" s="229" t="s">
        <v>2019</v>
      </c>
      <c r="C763" s="259" t="s">
        <v>2020</v>
      </c>
      <c r="D763" s="229" t="s">
        <v>2279</v>
      </c>
      <c r="E763" s="3" t="s">
        <v>1958</v>
      </c>
      <c r="F763" s="26" t="s">
        <v>102</v>
      </c>
      <c r="G763" s="26" t="s">
        <v>55</v>
      </c>
      <c r="H763" s="26" t="s">
        <v>56</v>
      </c>
      <c r="J763" s="22">
        <v>0.25</v>
      </c>
      <c r="L763" s="28" t="s">
        <v>57</v>
      </c>
      <c r="M763" s="176" t="s">
        <v>58</v>
      </c>
      <c r="N763" s="22">
        <v>0</v>
      </c>
      <c r="O763" s="22" t="s">
        <v>59</v>
      </c>
      <c r="P763" s="22" t="s">
        <v>78</v>
      </c>
      <c r="Q763" s="23" t="s">
        <v>2281</v>
      </c>
      <c r="R763" s="23" t="s">
        <v>2282</v>
      </c>
      <c r="T763" s="23">
        <v>150</v>
      </c>
      <c r="V763" s="25" t="s">
        <v>61</v>
      </c>
      <c r="W763" s="65">
        <v>3</v>
      </c>
      <c r="X763" s="106" t="s">
        <v>202</v>
      </c>
      <c r="Y763" s="25" t="s">
        <v>2283</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2284</v>
      </c>
    </row>
    <row r="764" spans="1:70" x14ac:dyDescent="0.2">
      <c r="A764" s="253">
        <v>1028</v>
      </c>
      <c r="B764" s="229" t="s">
        <v>2019</v>
      </c>
      <c r="C764" s="259" t="s">
        <v>2020</v>
      </c>
      <c r="D764" s="229" t="s">
        <v>2285</v>
      </c>
      <c r="E764" s="3" t="s">
        <v>1958</v>
      </c>
      <c r="F764" s="26" t="s">
        <v>102</v>
      </c>
      <c r="G764" s="26" t="s">
        <v>55</v>
      </c>
      <c r="H764" s="26" t="s">
        <v>2280</v>
      </c>
      <c r="J764" s="22">
        <v>0.25</v>
      </c>
      <c r="L764" s="28" t="s">
        <v>57</v>
      </c>
      <c r="M764" s="176" t="s">
        <v>58</v>
      </c>
      <c r="N764" s="22">
        <v>73</v>
      </c>
      <c r="O764" s="22" t="s">
        <v>59</v>
      </c>
      <c r="P764" s="176" t="s">
        <v>78</v>
      </c>
      <c r="Q764" s="23" t="s">
        <v>2281</v>
      </c>
      <c r="R764" s="177" t="s">
        <v>2282</v>
      </c>
      <c r="T764" s="23">
        <v>150</v>
      </c>
      <c r="V764" s="25" t="s">
        <v>61</v>
      </c>
      <c r="W764" s="65">
        <v>3</v>
      </c>
      <c r="X764" s="106" t="s">
        <v>202</v>
      </c>
      <c r="Y764" s="25" t="s">
        <v>2283</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2284</v>
      </c>
    </row>
    <row r="765" spans="1:70" x14ac:dyDescent="0.2">
      <c r="A765" s="253">
        <v>1029</v>
      </c>
      <c r="B765" s="229" t="s">
        <v>2019</v>
      </c>
      <c r="C765" s="259" t="s">
        <v>2020</v>
      </c>
      <c r="D765" s="229" t="s">
        <v>2286</v>
      </c>
      <c r="E765" s="3" t="s">
        <v>1958</v>
      </c>
      <c r="F765" s="26" t="s">
        <v>102</v>
      </c>
      <c r="G765" s="26" t="s">
        <v>55</v>
      </c>
      <c r="H765" s="179" t="s">
        <v>2280</v>
      </c>
      <c r="J765" s="22">
        <v>0.25</v>
      </c>
      <c r="L765" s="28" t="s">
        <v>57</v>
      </c>
      <c r="M765" s="176" t="s">
        <v>58</v>
      </c>
      <c r="N765" s="176">
        <v>73</v>
      </c>
      <c r="O765" s="22" t="s">
        <v>59</v>
      </c>
      <c r="P765" s="176" t="s">
        <v>78</v>
      </c>
      <c r="Q765" s="23" t="s">
        <v>2281</v>
      </c>
      <c r="R765" s="177" t="s">
        <v>2282</v>
      </c>
      <c r="T765" s="23">
        <v>150</v>
      </c>
      <c r="V765" s="165" t="s">
        <v>61</v>
      </c>
      <c r="W765" s="65">
        <v>3</v>
      </c>
      <c r="X765" s="106" t="s">
        <v>202</v>
      </c>
      <c r="Y765" s="165" t="s">
        <v>2283</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2284</v>
      </c>
    </row>
    <row r="766" spans="1:70" x14ac:dyDescent="0.2">
      <c r="A766" s="253">
        <v>1030</v>
      </c>
      <c r="B766" s="229" t="s">
        <v>2019</v>
      </c>
      <c r="C766" s="259" t="s">
        <v>2020</v>
      </c>
      <c r="D766" s="229" t="s">
        <v>2287</v>
      </c>
      <c r="E766" s="3" t="s">
        <v>833</v>
      </c>
      <c r="F766" s="26" t="s">
        <v>102</v>
      </c>
      <c r="G766" s="26" t="s">
        <v>55</v>
      </c>
      <c r="H766" s="179" t="s">
        <v>56</v>
      </c>
      <c r="J766" s="22">
        <v>400</v>
      </c>
      <c r="L766" s="28" t="s">
        <v>57</v>
      </c>
      <c r="M766" s="176" t="s">
        <v>58</v>
      </c>
      <c r="N766" s="22" t="s">
        <v>2288</v>
      </c>
      <c r="O766" s="22" t="s">
        <v>59</v>
      </c>
      <c r="P766" s="176" t="s">
        <v>91</v>
      </c>
      <c r="Q766" s="23" t="s">
        <v>2289</v>
      </c>
      <c r="R766" s="177" t="s">
        <v>2290</v>
      </c>
      <c r="V766" s="165" t="s">
        <v>61</v>
      </c>
      <c r="W766" s="65">
        <v>3</v>
      </c>
      <c r="X766" s="106" t="s">
        <v>202</v>
      </c>
      <c r="Y766" s="165" t="s">
        <v>2283</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2284</v>
      </c>
    </row>
    <row r="767" spans="1:70" x14ac:dyDescent="0.2">
      <c r="A767" s="253">
        <v>1031</v>
      </c>
      <c r="B767" s="229" t="s">
        <v>2019</v>
      </c>
      <c r="C767" s="259" t="s">
        <v>2020</v>
      </c>
      <c r="D767" s="229" t="s">
        <v>2291</v>
      </c>
      <c r="E767" s="3" t="s">
        <v>833</v>
      </c>
      <c r="F767" s="26" t="s">
        <v>102</v>
      </c>
      <c r="G767" s="26" t="s">
        <v>75</v>
      </c>
      <c r="H767" s="26" t="s">
        <v>398</v>
      </c>
      <c r="J767" s="22">
        <v>400</v>
      </c>
      <c r="L767" s="28" t="s">
        <v>57</v>
      </c>
      <c r="M767" s="176" t="s">
        <v>58</v>
      </c>
      <c r="N767" s="22" t="s">
        <v>2288</v>
      </c>
      <c r="O767" s="176" t="s">
        <v>59</v>
      </c>
      <c r="P767" s="176" t="s">
        <v>91</v>
      </c>
      <c r="Q767" s="23" t="s">
        <v>2289</v>
      </c>
      <c r="R767" s="23" t="s">
        <v>2290</v>
      </c>
      <c r="V767" s="25" t="s">
        <v>61</v>
      </c>
      <c r="W767" s="65">
        <v>3</v>
      </c>
      <c r="X767" s="106" t="s">
        <v>202</v>
      </c>
      <c r="Y767" s="25" t="s">
        <v>2283</v>
      </c>
      <c r="Z767" s="83" t="s">
        <v>62</v>
      </c>
      <c r="AB767" s="6">
        <v>1</v>
      </c>
      <c r="AC767" s="5">
        <v>23</v>
      </c>
      <c r="AD767" s="5" t="s">
        <v>79</v>
      </c>
      <c r="AK767" s="6">
        <v>50</v>
      </c>
      <c r="AL767" s="6" t="s">
        <v>80</v>
      </c>
      <c r="BQ767" s="6" t="s">
        <v>353</v>
      </c>
      <c r="BR767" s="5" t="s">
        <v>2284</v>
      </c>
    </row>
    <row r="768" spans="1:70" x14ac:dyDescent="0.2">
      <c r="A768" s="253">
        <v>1032</v>
      </c>
      <c r="B768" s="229" t="s">
        <v>2019</v>
      </c>
      <c r="C768" s="259" t="s">
        <v>2020</v>
      </c>
      <c r="D768" s="229" t="s">
        <v>2292</v>
      </c>
      <c r="E768" s="3" t="s">
        <v>833</v>
      </c>
      <c r="F768" s="26" t="s">
        <v>102</v>
      </c>
      <c r="G768" s="26" t="s">
        <v>75</v>
      </c>
      <c r="H768" s="26" t="s">
        <v>398</v>
      </c>
      <c r="J768" s="22">
        <v>400</v>
      </c>
      <c r="L768" s="28" t="s">
        <v>57</v>
      </c>
      <c r="M768" s="176" t="s">
        <v>58</v>
      </c>
      <c r="N768" s="22" t="s">
        <v>2288</v>
      </c>
      <c r="O768" s="176" t="s">
        <v>59</v>
      </c>
      <c r="P768" s="176" t="s">
        <v>91</v>
      </c>
      <c r="Q768" s="23" t="s">
        <v>2289</v>
      </c>
      <c r="R768" s="23" t="s">
        <v>2290</v>
      </c>
      <c r="V768" s="25" t="s">
        <v>61</v>
      </c>
      <c r="W768" s="65">
        <v>3</v>
      </c>
      <c r="X768" s="106" t="s">
        <v>202</v>
      </c>
      <c r="Y768" s="25" t="s">
        <v>2283</v>
      </c>
      <c r="Z768" s="83" t="s">
        <v>62</v>
      </c>
      <c r="AA768" s="6">
        <v>1</v>
      </c>
      <c r="AC768" s="5">
        <v>24</v>
      </c>
      <c r="AD768" s="5" t="s">
        <v>79</v>
      </c>
      <c r="AK768" s="6">
        <v>74</v>
      </c>
      <c r="AL768" s="6" t="s">
        <v>80</v>
      </c>
      <c r="BQ768" s="6" t="s">
        <v>353</v>
      </c>
      <c r="BR768" s="5" t="s">
        <v>2284</v>
      </c>
    </row>
    <row r="769" spans="1:70" x14ac:dyDescent="0.2">
      <c r="A769" s="253">
        <v>1033</v>
      </c>
      <c r="B769" s="229" t="s">
        <v>2019</v>
      </c>
      <c r="C769" s="259" t="s">
        <v>2020</v>
      </c>
      <c r="D769" s="229" t="s">
        <v>2293</v>
      </c>
      <c r="E769" s="3" t="s">
        <v>833</v>
      </c>
      <c r="F769" s="26" t="s">
        <v>102</v>
      </c>
      <c r="G769" s="26" t="s">
        <v>75</v>
      </c>
      <c r="H769" s="26" t="s">
        <v>398</v>
      </c>
      <c r="J769" s="22">
        <v>400</v>
      </c>
      <c r="L769" s="28" t="s">
        <v>57</v>
      </c>
      <c r="M769" s="22" t="s">
        <v>58</v>
      </c>
      <c r="N769" s="22" t="s">
        <v>2288</v>
      </c>
      <c r="O769" s="22" t="s">
        <v>59</v>
      </c>
      <c r="P769" s="22" t="s">
        <v>91</v>
      </c>
      <c r="Q769" s="23" t="s">
        <v>2289</v>
      </c>
      <c r="R769" s="23" t="s">
        <v>2290</v>
      </c>
      <c r="V769" s="165" t="s">
        <v>61</v>
      </c>
      <c r="W769" s="65">
        <v>3</v>
      </c>
      <c r="X769" s="106" t="s">
        <v>202</v>
      </c>
      <c r="Y769" s="25" t="s">
        <v>2283</v>
      </c>
      <c r="Z769" s="83" t="s">
        <v>62</v>
      </c>
      <c r="AA769" s="6">
        <v>1</v>
      </c>
      <c r="AC769" s="5">
        <v>26</v>
      </c>
      <c r="AD769" s="163" t="s">
        <v>79</v>
      </c>
      <c r="AE769" s="163"/>
      <c r="AH769" s="163"/>
      <c r="AK769" s="6">
        <v>86</v>
      </c>
      <c r="AL769" s="6" t="s">
        <v>80</v>
      </c>
      <c r="AM769" s="164"/>
      <c r="AP769" s="164"/>
      <c r="AU769" s="163"/>
      <c r="BQ769" s="6" t="s">
        <v>353</v>
      </c>
      <c r="BR769" s="5" t="s">
        <v>2284</v>
      </c>
    </row>
    <row r="770" spans="1:70" x14ac:dyDescent="0.2">
      <c r="A770" s="253">
        <v>1034</v>
      </c>
      <c r="B770" s="229" t="s">
        <v>2019</v>
      </c>
      <c r="C770" s="259" t="s">
        <v>2020</v>
      </c>
      <c r="D770" s="229" t="s">
        <v>2294</v>
      </c>
      <c r="E770" s="123" t="s">
        <v>833</v>
      </c>
      <c r="F770" s="179" t="s">
        <v>102</v>
      </c>
      <c r="G770" s="179" t="s">
        <v>75</v>
      </c>
      <c r="H770" s="179" t="s">
        <v>398</v>
      </c>
      <c r="I770" s="179"/>
      <c r="J770" s="176">
        <v>400</v>
      </c>
      <c r="K770" s="180"/>
      <c r="L770" s="180" t="s">
        <v>57</v>
      </c>
      <c r="M770" s="176" t="s">
        <v>58</v>
      </c>
      <c r="N770" s="22" t="s">
        <v>2288</v>
      </c>
      <c r="O770" s="22" t="s">
        <v>59</v>
      </c>
      <c r="P770" s="22" t="s">
        <v>91</v>
      </c>
      <c r="Q770" s="23" t="s">
        <v>2289</v>
      </c>
      <c r="R770" s="23" t="s">
        <v>2290</v>
      </c>
      <c r="V770" s="165" t="s">
        <v>61</v>
      </c>
      <c r="W770" s="65">
        <v>3</v>
      </c>
      <c r="X770" s="106" t="s">
        <v>202</v>
      </c>
      <c r="Y770" s="25" t="s">
        <v>2283</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2284</v>
      </c>
    </row>
    <row r="771" spans="1:70" x14ac:dyDescent="0.2">
      <c r="A771" s="253">
        <v>1035</v>
      </c>
      <c r="B771" s="229" t="s">
        <v>2019</v>
      </c>
      <c r="C771" s="259" t="s">
        <v>2020</v>
      </c>
      <c r="D771" s="229" t="s">
        <v>2295</v>
      </c>
      <c r="E771" s="123" t="s">
        <v>833</v>
      </c>
      <c r="F771" s="179" t="s">
        <v>102</v>
      </c>
      <c r="G771" s="179" t="s">
        <v>75</v>
      </c>
      <c r="H771" s="179" t="s">
        <v>398</v>
      </c>
      <c r="I771" s="179"/>
      <c r="J771" s="176">
        <v>400</v>
      </c>
      <c r="K771" s="180"/>
      <c r="L771" s="180" t="s">
        <v>57</v>
      </c>
      <c r="M771" s="176" t="s">
        <v>58</v>
      </c>
      <c r="N771" s="22" t="s">
        <v>2288</v>
      </c>
      <c r="O771" s="22" t="s">
        <v>59</v>
      </c>
      <c r="P771" s="22" t="s">
        <v>91</v>
      </c>
      <c r="Q771" s="23" t="s">
        <v>2289</v>
      </c>
      <c r="R771" s="23" t="s">
        <v>2290</v>
      </c>
      <c r="V771" s="165" t="s">
        <v>61</v>
      </c>
      <c r="W771" s="65">
        <v>3</v>
      </c>
      <c r="X771" s="106" t="s">
        <v>202</v>
      </c>
      <c r="Y771" s="25" t="s">
        <v>2283</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2284</v>
      </c>
    </row>
    <row r="772" spans="1:70" x14ac:dyDescent="0.2">
      <c r="A772" s="253">
        <v>1036</v>
      </c>
      <c r="B772" s="229" t="s">
        <v>2019</v>
      </c>
      <c r="C772" s="259" t="s">
        <v>2020</v>
      </c>
      <c r="D772" s="229" t="s">
        <v>2296</v>
      </c>
      <c r="E772" s="123" t="s">
        <v>833</v>
      </c>
      <c r="F772" s="179" t="s">
        <v>102</v>
      </c>
      <c r="G772" s="179" t="s">
        <v>75</v>
      </c>
      <c r="H772" s="179" t="s">
        <v>398</v>
      </c>
      <c r="I772" s="179"/>
      <c r="J772" s="176">
        <v>400</v>
      </c>
      <c r="K772" s="180"/>
      <c r="L772" s="180" t="s">
        <v>57</v>
      </c>
      <c r="M772" s="176" t="s">
        <v>58</v>
      </c>
      <c r="N772" s="22" t="s">
        <v>2288</v>
      </c>
      <c r="O772" s="22" t="s">
        <v>59</v>
      </c>
      <c r="P772" s="22" t="s">
        <v>91</v>
      </c>
      <c r="Q772" s="23" t="s">
        <v>2289</v>
      </c>
      <c r="R772" s="23" t="s">
        <v>2290</v>
      </c>
      <c r="V772" s="165" t="s">
        <v>61</v>
      </c>
      <c r="W772" s="65">
        <v>3</v>
      </c>
      <c r="X772" s="106" t="s">
        <v>202</v>
      </c>
      <c r="Y772" s="25" t="s">
        <v>2283</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2284</v>
      </c>
    </row>
    <row r="773" spans="1:70" x14ac:dyDescent="0.2">
      <c r="A773" s="253">
        <v>1037</v>
      </c>
      <c r="B773" s="229" t="s">
        <v>2019</v>
      </c>
      <c r="C773" s="259" t="s">
        <v>2020</v>
      </c>
      <c r="D773" s="229" t="s">
        <v>2297</v>
      </c>
      <c r="E773" s="123" t="s">
        <v>833</v>
      </c>
      <c r="F773" s="179" t="s">
        <v>102</v>
      </c>
      <c r="G773" s="179" t="s">
        <v>75</v>
      </c>
      <c r="H773" s="26" t="s">
        <v>398</v>
      </c>
      <c r="J773" s="22">
        <v>400</v>
      </c>
      <c r="L773" s="28" t="s">
        <v>57</v>
      </c>
      <c r="M773" s="22" t="s">
        <v>58</v>
      </c>
      <c r="N773" s="22" t="s">
        <v>2288</v>
      </c>
      <c r="O773" s="22" t="s">
        <v>59</v>
      </c>
      <c r="P773" s="22" t="s">
        <v>91</v>
      </c>
      <c r="Q773" s="23" t="s">
        <v>2289</v>
      </c>
      <c r="R773" s="23" t="s">
        <v>2290</v>
      </c>
      <c r="V773" s="25" t="s">
        <v>61</v>
      </c>
      <c r="W773" s="65">
        <v>3</v>
      </c>
      <c r="X773" s="106" t="s">
        <v>202</v>
      </c>
      <c r="Y773" s="25" t="s">
        <v>2283</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2284</v>
      </c>
    </row>
    <row r="774" spans="1:70" x14ac:dyDescent="0.2">
      <c r="A774" s="253">
        <v>1038</v>
      </c>
      <c r="B774" s="229" t="s">
        <v>2019</v>
      </c>
      <c r="C774" s="259" t="s">
        <v>2020</v>
      </c>
      <c r="D774" s="229" t="s">
        <v>2298</v>
      </c>
      <c r="E774" s="123" t="s">
        <v>833</v>
      </c>
      <c r="F774" s="179" t="s">
        <v>102</v>
      </c>
      <c r="G774" s="179" t="s">
        <v>75</v>
      </c>
      <c r="H774" s="179" t="s">
        <v>398</v>
      </c>
      <c r="J774" s="22">
        <v>400</v>
      </c>
      <c r="L774" s="28" t="s">
        <v>57</v>
      </c>
      <c r="M774" s="22" t="s">
        <v>58</v>
      </c>
      <c r="N774" s="22" t="s">
        <v>2288</v>
      </c>
      <c r="O774" s="22" t="s">
        <v>59</v>
      </c>
      <c r="P774" s="22" t="s">
        <v>91</v>
      </c>
      <c r="Q774" s="23" t="s">
        <v>2289</v>
      </c>
      <c r="R774" s="23" t="s">
        <v>2290</v>
      </c>
      <c r="V774" s="25" t="s">
        <v>61</v>
      </c>
      <c r="W774" s="65">
        <v>3</v>
      </c>
      <c r="X774" s="106" t="s">
        <v>202</v>
      </c>
      <c r="Y774" s="25" t="s">
        <v>2283</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2284</v>
      </c>
    </row>
    <row r="775" spans="1:70" x14ac:dyDescent="0.2">
      <c r="A775" s="253">
        <v>1039</v>
      </c>
      <c r="B775" s="229" t="s">
        <v>2019</v>
      </c>
      <c r="C775" s="259" t="s">
        <v>2020</v>
      </c>
      <c r="D775" s="229" t="s">
        <v>2299</v>
      </c>
      <c r="E775" s="3" t="s">
        <v>833</v>
      </c>
      <c r="F775" s="26" t="s">
        <v>102</v>
      </c>
      <c r="G775" s="26" t="s">
        <v>75</v>
      </c>
      <c r="H775" s="26" t="s">
        <v>398</v>
      </c>
      <c r="J775" s="22">
        <v>400</v>
      </c>
      <c r="L775" s="28" t="s">
        <v>57</v>
      </c>
      <c r="M775" s="22" t="s">
        <v>58</v>
      </c>
      <c r="N775" s="22" t="s">
        <v>2288</v>
      </c>
      <c r="O775" s="22" t="s">
        <v>59</v>
      </c>
      <c r="P775" s="22" t="s">
        <v>91</v>
      </c>
      <c r="Q775" s="23" t="s">
        <v>2289</v>
      </c>
      <c r="R775" s="23" t="s">
        <v>2290</v>
      </c>
      <c r="V775" s="25" t="s">
        <v>61</v>
      </c>
      <c r="W775" s="65">
        <v>3</v>
      </c>
      <c r="X775" s="106" t="s">
        <v>202</v>
      </c>
      <c r="Y775" s="25" t="s">
        <v>2283</v>
      </c>
      <c r="Z775" s="83" t="s">
        <v>62</v>
      </c>
      <c r="AB775" s="6">
        <v>1</v>
      </c>
      <c r="AC775" s="5">
        <v>26</v>
      </c>
      <c r="AD775" s="5" t="s">
        <v>79</v>
      </c>
      <c r="AK775" s="6">
        <v>62</v>
      </c>
      <c r="AL775" s="6" t="s">
        <v>80</v>
      </c>
      <c r="BQ775" s="6" t="s">
        <v>353</v>
      </c>
      <c r="BR775" s="5" t="s">
        <v>2284</v>
      </c>
    </row>
    <row r="776" spans="1:70" x14ac:dyDescent="0.2">
      <c r="A776" s="253">
        <v>1040</v>
      </c>
      <c r="B776" s="229" t="s">
        <v>2019</v>
      </c>
      <c r="C776" s="259" t="s">
        <v>2020</v>
      </c>
      <c r="D776" s="229" t="s">
        <v>2300</v>
      </c>
      <c r="E776" s="3" t="s">
        <v>148</v>
      </c>
      <c r="F776" s="26" t="s">
        <v>102</v>
      </c>
      <c r="G776" s="26" t="s">
        <v>55</v>
      </c>
      <c r="H776" s="26" t="s">
        <v>56</v>
      </c>
      <c r="J776" s="22">
        <v>200</v>
      </c>
      <c r="L776" s="28" t="s">
        <v>57</v>
      </c>
      <c r="M776" s="22" t="s">
        <v>58</v>
      </c>
      <c r="N776" s="22" t="s">
        <v>2288</v>
      </c>
      <c r="O776" s="22" t="s">
        <v>59</v>
      </c>
      <c r="P776" s="22" t="s">
        <v>91</v>
      </c>
      <c r="Q776" s="23" t="s">
        <v>2301</v>
      </c>
      <c r="R776" s="23" t="s">
        <v>832</v>
      </c>
      <c r="V776" s="25" t="s">
        <v>61</v>
      </c>
      <c r="W776" s="65">
        <v>3</v>
      </c>
      <c r="X776" s="106" t="s">
        <v>202</v>
      </c>
      <c r="Y776" s="25" t="s">
        <v>2283</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2284</v>
      </c>
    </row>
    <row r="777" spans="1:70" x14ac:dyDescent="0.2">
      <c r="A777" s="253">
        <v>1041</v>
      </c>
      <c r="B777" s="229" t="s">
        <v>2019</v>
      </c>
      <c r="C777" s="259" t="s">
        <v>2020</v>
      </c>
      <c r="D777" s="229" t="s">
        <v>2302</v>
      </c>
      <c r="E777" s="3" t="s">
        <v>148</v>
      </c>
      <c r="F777" s="26" t="s">
        <v>102</v>
      </c>
      <c r="G777" s="26" t="s">
        <v>75</v>
      </c>
      <c r="H777" s="26" t="s">
        <v>398</v>
      </c>
      <c r="J777" s="22">
        <v>200</v>
      </c>
      <c r="L777" s="28" t="s">
        <v>57</v>
      </c>
      <c r="M777" s="22" t="s">
        <v>58</v>
      </c>
      <c r="N777" s="22" t="s">
        <v>2288</v>
      </c>
      <c r="O777" s="22" t="s">
        <v>59</v>
      </c>
      <c r="P777" s="22" t="s">
        <v>91</v>
      </c>
      <c r="Q777" s="23" t="s">
        <v>2301</v>
      </c>
      <c r="R777" s="23" t="s">
        <v>832</v>
      </c>
      <c r="V777" s="25" t="s">
        <v>61</v>
      </c>
      <c r="W777" s="65">
        <v>3</v>
      </c>
      <c r="X777" s="106" t="s">
        <v>202</v>
      </c>
      <c r="Y777" s="25" t="s">
        <v>2283</v>
      </c>
      <c r="Z777" s="83" t="s">
        <v>62</v>
      </c>
      <c r="AB777" s="6">
        <v>1</v>
      </c>
      <c r="AC777" s="5">
        <v>23</v>
      </c>
      <c r="AD777" s="5" t="s">
        <v>79</v>
      </c>
      <c r="AK777" s="6">
        <v>50</v>
      </c>
      <c r="AL777" s="6" t="s">
        <v>80</v>
      </c>
      <c r="BQ777" s="6" t="s">
        <v>353</v>
      </c>
      <c r="BR777" s="5" t="s">
        <v>2284</v>
      </c>
    </row>
    <row r="778" spans="1:70" x14ac:dyDescent="0.2">
      <c r="A778" s="253">
        <v>1042</v>
      </c>
      <c r="B778" s="229" t="s">
        <v>2019</v>
      </c>
      <c r="C778" s="259" t="s">
        <v>2020</v>
      </c>
      <c r="D778" s="229" t="s">
        <v>2303</v>
      </c>
      <c r="E778" s="3" t="s">
        <v>148</v>
      </c>
      <c r="F778" s="26" t="s">
        <v>102</v>
      </c>
      <c r="G778" s="26" t="s">
        <v>75</v>
      </c>
      <c r="H778" s="26" t="s">
        <v>398</v>
      </c>
      <c r="J778" s="22">
        <v>200</v>
      </c>
      <c r="L778" s="28" t="s">
        <v>57</v>
      </c>
      <c r="M778" s="22" t="s">
        <v>58</v>
      </c>
      <c r="N778" s="22" t="s">
        <v>2288</v>
      </c>
      <c r="O778" s="22" t="s">
        <v>59</v>
      </c>
      <c r="P778" s="22" t="s">
        <v>91</v>
      </c>
      <c r="Q778" s="23" t="s">
        <v>2301</v>
      </c>
      <c r="R778" s="23" t="s">
        <v>832</v>
      </c>
      <c r="V778" s="25" t="s">
        <v>61</v>
      </c>
      <c r="W778" s="65">
        <v>3</v>
      </c>
      <c r="X778" s="106" t="s">
        <v>202</v>
      </c>
      <c r="Y778" s="25" t="s">
        <v>2283</v>
      </c>
      <c r="Z778" s="83" t="s">
        <v>62</v>
      </c>
      <c r="AA778" s="6">
        <v>1</v>
      </c>
      <c r="AC778" s="5">
        <v>24</v>
      </c>
      <c r="AD778" s="5" t="s">
        <v>79</v>
      </c>
      <c r="AK778" s="6">
        <v>74</v>
      </c>
      <c r="AL778" s="6" t="s">
        <v>80</v>
      </c>
      <c r="BQ778" s="6" t="s">
        <v>353</v>
      </c>
      <c r="BR778" s="5" t="s">
        <v>2284</v>
      </c>
    </row>
    <row r="779" spans="1:70" x14ac:dyDescent="0.2">
      <c r="A779" s="253">
        <v>1043</v>
      </c>
      <c r="B779" s="229" t="s">
        <v>2019</v>
      </c>
      <c r="C779" s="259" t="s">
        <v>2020</v>
      </c>
      <c r="D779" s="229" t="s">
        <v>2304</v>
      </c>
      <c r="E779" s="3" t="s">
        <v>148</v>
      </c>
      <c r="F779" s="26" t="s">
        <v>102</v>
      </c>
      <c r="G779" s="26" t="s">
        <v>75</v>
      </c>
      <c r="H779" s="26" t="s">
        <v>398</v>
      </c>
      <c r="J779" s="22">
        <v>200</v>
      </c>
      <c r="L779" s="28" t="s">
        <v>57</v>
      </c>
      <c r="M779" s="22" t="s">
        <v>58</v>
      </c>
      <c r="N779" s="22" t="s">
        <v>2288</v>
      </c>
      <c r="O779" s="22" t="s">
        <v>59</v>
      </c>
      <c r="P779" s="22" t="s">
        <v>91</v>
      </c>
      <c r="Q779" s="23" t="s">
        <v>2301</v>
      </c>
      <c r="R779" s="23" t="s">
        <v>832</v>
      </c>
      <c r="V779" s="25" t="s">
        <v>61</v>
      </c>
      <c r="W779" s="65">
        <v>3</v>
      </c>
      <c r="X779" s="106" t="s">
        <v>202</v>
      </c>
      <c r="Y779" s="25" t="s">
        <v>2283</v>
      </c>
      <c r="Z779" s="83" t="s">
        <v>62</v>
      </c>
      <c r="AA779" s="6">
        <v>1</v>
      </c>
      <c r="AC779" s="5">
        <v>26</v>
      </c>
      <c r="AD779" s="5" t="s">
        <v>79</v>
      </c>
      <c r="AK779" s="6">
        <v>86</v>
      </c>
      <c r="AL779" s="6" t="s">
        <v>80</v>
      </c>
      <c r="BQ779" s="6" t="s">
        <v>353</v>
      </c>
      <c r="BR779" s="5" t="s">
        <v>2284</v>
      </c>
    </row>
    <row r="780" spans="1:70" x14ac:dyDescent="0.2">
      <c r="A780" s="253">
        <v>1044</v>
      </c>
      <c r="B780" s="229" t="s">
        <v>2019</v>
      </c>
      <c r="C780" s="259" t="s">
        <v>2020</v>
      </c>
      <c r="D780" s="229" t="s">
        <v>2305</v>
      </c>
      <c r="E780" s="3" t="s">
        <v>148</v>
      </c>
      <c r="F780" s="26" t="s">
        <v>102</v>
      </c>
      <c r="G780" s="26" t="s">
        <v>75</v>
      </c>
      <c r="H780" s="26" t="s">
        <v>398</v>
      </c>
      <c r="J780" s="22">
        <v>200</v>
      </c>
      <c r="L780" s="28" t="s">
        <v>57</v>
      </c>
      <c r="M780" s="22" t="s">
        <v>58</v>
      </c>
      <c r="N780" s="22" t="s">
        <v>2288</v>
      </c>
      <c r="O780" s="22" t="s">
        <v>59</v>
      </c>
      <c r="P780" s="22" t="s">
        <v>91</v>
      </c>
      <c r="Q780" s="23" t="s">
        <v>2301</v>
      </c>
      <c r="R780" s="23" t="s">
        <v>832</v>
      </c>
      <c r="V780" s="25" t="s">
        <v>61</v>
      </c>
      <c r="W780" s="65">
        <v>3</v>
      </c>
      <c r="X780" s="106" t="s">
        <v>202</v>
      </c>
      <c r="Y780" s="25" t="s">
        <v>2283</v>
      </c>
      <c r="Z780" s="83" t="s">
        <v>62</v>
      </c>
      <c r="AB780" s="6">
        <v>1</v>
      </c>
      <c r="AC780" s="5">
        <v>23</v>
      </c>
      <c r="AD780" s="5" t="s">
        <v>79</v>
      </c>
      <c r="AK780" s="6">
        <v>59</v>
      </c>
      <c r="AL780" s="6" t="s">
        <v>80</v>
      </c>
      <c r="BQ780" s="6" t="s">
        <v>353</v>
      </c>
      <c r="BR780" s="5" t="s">
        <v>2284</v>
      </c>
    </row>
    <row r="781" spans="1:70" x14ac:dyDescent="0.2">
      <c r="A781" s="253">
        <v>1045</v>
      </c>
      <c r="B781" s="229" t="s">
        <v>2019</v>
      </c>
      <c r="C781" s="259" t="s">
        <v>2020</v>
      </c>
      <c r="D781" s="229" t="s">
        <v>2306</v>
      </c>
      <c r="E781" s="3" t="s">
        <v>148</v>
      </c>
      <c r="F781" s="26" t="s">
        <v>102</v>
      </c>
      <c r="G781" s="26" t="s">
        <v>75</v>
      </c>
      <c r="H781" s="26" t="s">
        <v>398</v>
      </c>
      <c r="J781" s="22">
        <v>200</v>
      </c>
      <c r="L781" s="28" t="s">
        <v>57</v>
      </c>
      <c r="M781" s="22" t="s">
        <v>58</v>
      </c>
      <c r="N781" s="22" t="s">
        <v>2288</v>
      </c>
      <c r="O781" s="22" t="s">
        <v>59</v>
      </c>
      <c r="P781" s="22" t="s">
        <v>91</v>
      </c>
      <c r="Q781" s="23" t="s">
        <v>2301</v>
      </c>
      <c r="R781" s="23" t="s">
        <v>832</v>
      </c>
      <c r="V781" s="25" t="s">
        <v>61</v>
      </c>
      <c r="W781" s="65">
        <v>3</v>
      </c>
      <c r="X781" s="106" t="s">
        <v>202</v>
      </c>
      <c r="Y781" s="25" t="s">
        <v>2283</v>
      </c>
      <c r="Z781" s="83" t="s">
        <v>62</v>
      </c>
      <c r="AB781" s="6">
        <v>1</v>
      </c>
      <c r="AC781" s="5">
        <v>25</v>
      </c>
      <c r="AD781" s="5" t="s">
        <v>79</v>
      </c>
      <c r="AK781" s="6">
        <v>59</v>
      </c>
      <c r="AL781" s="6" t="s">
        <v>80</v>
      </c>
      <c r="BQ781" s="6" t="s">
        <v>353</v>
      </c>
      <c r="BR781" s="5" t="s">
        <v>2284</v>
      </c>
    </row>
    <row r="782" spans="1:70" x14ac:dyDescent="0.2">
      <c r="A782" s="253">
        <v>1046</v>
      </c>
      <c r="B782" s="229" t="s">
        <v>2019</v>
      </c>
      <c r="C782" s="259" t="s">
        <v>2020</v>
      </c>
      <c r="D782" s="229" t="s">
        <v>2307</v>
      </c>
      <c r="E782" s="3" t="s">
        <v>148</v>
      </c>
      <c r="F782" s="26" t="s">
        <v>102</v>
      </c>
      <c r="G782" s="26" t="s">
        <v>75</v>
      </c>
      <c r="H782" s="26" t="s">
        <v>398</v>
      </c>
      <c r="J782" s="22">
        <v>200</v>
      </c>
      <c r="L782" s="28" t="s">
        <v>57</v>
      </c>
      <c r="M782" s="22" t="s">
        <v>58</v>
      </c>
      <c r="N782" s="22" t="s">
        <v>2288</v>
      </c>
      <c r="O782" s="22" t="s">
        <v>59</v>
      </c>
      <c r="P782" s="22" t="s">
        <v>91</v>
      </c>
      <c r="Q782" s="23" t="s">
        <v>2301</v>
      </c>
      <c r="R782" s="23" t="s">
        <v>832</v>
      </c>
      <c r="V782" s="25" t="s">
        <v>61</v>
      </c>
      <c r="W782" s="65">
        <v>3</v>
      </c>
      <c r="X782" s="106" t="s">
        <v>202</v>
      </c>
      <c r="Y782" s="25" t="s">
        <v>2283</v>
      </c>
      <c r="Z782" s="83" t="s">
        <v>62</v>
      </c>
      <c r="AB782" s="6">
        <v>1</v>
      </c>
      <c r="AC782" s="5">
        <v>20</v>
      </c>
      <c r="AD782" s="5" t="s">
        <v>79</v>
      </c>
      <c r="AK782" s="6">
        <v>66</v>
      </c>
      <c r="AL782" s="6" t="s">
        <v>80</v>
      </c>
      <c r="BQ782" s="6" t="s">
        <v>353</v>
      </c>
      <c r="BR782" s="5" t="s">
        <v>2284</v>
      </c>
    </row>
    <row r="783" spans="1:70" x14ac:dyDescent="0.2">
      <c r="A783" s="253">
        <v>1047</v>
      </c>
      <c r="B783" s="229" t="s">
        <v>2019</v>
      </c>
      <c r="C783" s="259" t="s">
        <v>2020</v>
      </c>
      <c r="D783" s="229" t="s">
        <v>2308</v>
      </c>
      <c r="E783" s="3" t="s">
        <v>148</v>
      </c>
      <c r="F783" s="26" t="s">
        <v>102</v>
      </c>
      <c r="G783" s="26" t="s">
        <v>75</v>
      </c>
      <c r="H783" s="26" t="s">
        <v>398</v>
      </c>
      <c r="J783" s="22">
        <v>200</v>
      </c>
      <c r="L783" s="28" t="s">
        <v>57</v>
      </c>
      <c r="M783" s="22" t="s">
        <v>58</v>
      </c>
      <c r="N783" s="22" t="s">
        <v>2288</v>
      </c>
      <c r="O783" s="22" t="s">
        <v>59</v>
      </c>
      <c r="P783" s="22" t="s">
        <v>91</v>
      </c>
      <c r="Q783" s="23" t="s">
        <v>2301</v>
      </c>
      <c r="R783" s="23" t="s">
        <v>832</v>
      </c>
      <c r="V783" s="25" t="s">
        <v>61</v>
      </c>
      <c r="W783" s="65">
        <v>3</v>
      </c>
      <c r="X783" s="106" t="s">
        <v>202</v>
      </c>
      <c r="Y783" s="25" t="s">
        <v>2283</v>
      </c>
      <c r="Z783" s="83" t="s">
        <v>62</v>
      </c>
      <c r="AA783" s="6">
        <v>1</v>
      </c>
      <c r="AC783" s="5">
        <v>25</v>
      </c>
      <c r="AD783" s="5" t="s">
        <v>79</v>
      </c>
      <c r="AK783" s="6">
        <v>77</v>
      </c>
      <c r="AL783" s="6" t="s">
        <v>80</v>
      </c>
      <c r="BQ783" s="6" t="s">
        <v>353</v>
      </c>
      <c r="BR783" s="5" t="s">
        <v>2284</v>
      </c>
    </row>
    <row r="784" spans="1:70" x14ac:dyDescent="0.2">
      <c r="A784" s="253">
        <v>1048</v>
      </c>
      <c r="B784" s="229" t="s">
        <v>2019</v>
      </c>
      <c r="C784" s="259" t="s">
        <v>2020</v>
      </c>
      <c r="D784" s="229" t="s">
        <v>2309</v>
      </c>
      <c r="E784" s="3" t="s">
        <v>148</v>
      </c>
      <c r="F784" s="26" t="s">
        <v>102</v>
      </c>
      <c r="G784" s="26" t="s">
        <v>75</v>
      </c>
      <c r="H784" s="26" t="s">
        <v>398</v>
      </c>
      <c r="J784" s="22">
        <v>200</v>
      </c>
      <c r="L784" s="28" t="s">
        <v>57</v>
      </c>
      <c r="M784" s="22" t="s">
        <v>58</v>
      </c>
      <c r="N784" s="22" t="s">
        <v>2288</v>
      </c>
      <c r="O784" s="22" t="s">
        <v>59</v>
      </c>
      <c r="P784" s="22" t="s">
        <v>91</v>
      </c>
      <c r="Q784" s="23" t="s">
        <v>2301</v>
      </c>
      <c r="R784" s="23" t="s">
        <v>832</v>
      </c>
      <c r="V784" s="25" t="s">
        <v>61</v>
      </c>
      <c r="W784" s="65">
        <v>3</v>
      </c>
      <c r="X784" s="106" t="s">
        <v>202</v>
      </c>
      <c r="Y784" s="25" t="s">
        <v>2283</v>
      </c>
      <c r="Z784" s="83" t="s">
        <v>62</v>
      </c>
      <c r="AB784" s="6">
        <v>1</v>
      </c>
      <c r="AC784" s="5">
        <v>23</v>
      </c>
      <c r="AD784" s="5" t="s">
        <v>79</v>
      </c>
      <c r="AK784" s="6">
        <v>55</v>
      </c>
      <c r="AL784" s="6" t="s">
        <v>80</v>
      </c>
      <c r="BQ784" s="6" t="s">
        <v>353</v>
      </c>
      <c r="BR784" s="5" t="s">
        <v>2284</v>
      </c>
    </row>
    <row r="785" spans="1:70" x14ac:dyDescent="0.2">
      <c r="A785" s="253">
        <v>1049</v>
      </c>
      <c r="B785" s="229" t="s">
        <v>2019</v>
      </c>
      <c r="C785" s="259" t="s">
        <v>2020</v>
      </c>
      <c r="D785" s="229" t="s">
        <v>2310</v>
      </c>
      <c r="E785" s="3" t="s">
        <v>148</v>
      </c>
      <c r="F785" s="26" t="s">
        <v>102</v>
      </c>
      <c r="G785" s="26" t="s">
        <v>75</v>
      </c>
      <c r="H785" s="26" t="s">
        <v>398</v>
      </c>
      <c r="J785" s="22">
        <v>200</v>
      </c>
      <c r="L785" s="28" t="s">
        <v>57</v>
      </c>
      <c r="M785" s="22" t="s">
        <v>58</v>
      </c>
      <c r="N785" s="22" t="s">
        <v>2288</v>
      </c>
      <c r="O785" s="22" t="s">
        <v>59</v>
      </c>
      <c r="P785" s="22" t="s">
        <v>91</v>
      </c>
      <c r="Q785" s="23" t="s">
        <v>2301</v>
      </c>
      <c r="R785" s="23" t="s">
        <v>832</v>
      </c>
      <c r="V785" s="25" t="s">
        <v>61</v>
      </c>
      <c r="W785" s="65">
        <v>3</v>
      </c>
      <c r="X785" s="106" t="s">
        <v>202</v>
      </c>
      <c r="Y785" s="25" t="s">
        <v>2283</v>
      </c>
      <c r="Z785" s="83" t="s">
        <v>62</v>
      </c>
      <c r="AB785" s="6">
        <v>1</v>
      </c>
      <c r="AC785" s="5">
        <v>26</v>
      </c>
      <c r="AD785" s="5" t="s">
        <v>79</v>
      </c>
      <c r="AK785" s="6">
        <v>62</v>
      </c>
      <c r="AL785" s="6" t="s">
        <v>80</v>
      </c>
      <c r="BQ785" s="6" t="s">
        <v>353</v>
      </c>
      <c r="BR785" s="5" t="s">
        <v>2284</v>
      </c>
    </row>
    <row r="786" spans="1:70" x14ac:dyDescent="0.2">
      <c r="A786" s="253">
        <v>1050</v>
      </c>
      <c r="B786" s="229" t="s">
        <v>2019</v>
      </c>
      <c r="C786" s="259" t="s">
        <v>2020</v>
      </c>
      <c r="D786" s="229" t="s">
        <v>2311</v>
      </c>
      <c r="E786" s="3" t="s">
        <v>1958</v>
      </c>
      <c r="F786" s="26" t="s">
        <v>102</v>
      </c>
      <c r="G786" s="26" t="s">
        <v>75</v>
      </c>
      <c r="H786" s="26" t="s">
        <v>2312</v>
      </c>
      <c r="J786" s="22">
        <v>0.25</v>
      </c>
      <c r="L786" s="28" t="s">
        <v>57</v>
      </c>
      <c r="M786" s="22" t="s">
        <v>58</v>
      </c>
      <c r="N786" s="22">
        <v>0</v>
      </c>
      <c r="O786" s="22" t="s">
        <v>59</v>
      </c>
      <c r="P786" s="22" t="s">
        <v>78</v>
      </c>
      <c r="Q786" s="23" t="s">
        <v>2281</v>
      </c>
      <c r="R786" s="23" t="s">
        <v>2282</v>
      </c>
      <c r="T786" s="23">
        <v>150</v>
      </c>
      <c r="V786" s="25" t="s">
        <v>61</v>
      </c>
      <c r="W786" s="65">
        <v>3</v>
      </c>
      <c r="X786" s="106" t="s">
        <v>202</v>
      </c>
      <c r="Y786" s="25" t="s">
        <v>2283</v>
      </c>
      <c r="Z786" s="83" t="s">
        <v>62</v>
      </c>
      <c r="AB786" s="6">
        <v>1</v>
      </c>
      <c r="AC786" s="5">
        <v>23</v>
      </c>
      <c r="AD786" s="5" t="s">
        <v>79</v>
      </c>
      <c r="AK786" s="6">
        <v>50</v>
      </c>
      <c r="AL786" s="6" t="s">
        <v>80</v>
      </c>
      <c r="BQ786" s="6" t="s">
        <v>353</v>
      </c>
      <c r="BR786" s="5" t="s">
        <v>2284</v>
      </c>
    </row>
    <row r="787" spans="1:70" x14ac:dyDescent="0.2">
      <c r="A787" s="253">
        <v>1051</v>
      </c>
      <c r="B787" s="229" t="s">
        <v>2019</v>
      </c>
      <c r="C787" s="259" t="s">
        <v>2020</v>
      </c>
      <c r="D787" s="229" t="s">
        <v>2313</v>
      </c>
      <c r="E787" s="3" t="s">
        <v>1958</v>
      </c>
      <c r="F787" s="26" t="s">
        <v>102</v>
      </c>
      <c r="G787" s="26" t="s">
        <v>75</v>
      </c>
      <c r="H787" s="26" t="s">
        <v>2312</v>
      </c>
      <c r="J787" s="22">
        <v>0.25</v>
      </c>
      <c r="L787" s="28" t="s">
        <v>57</v>
      </c>
      <c r="M787" s="22" t="s">
        <v>58</v>
      </c>
      <c r="N787" s="22">
        <v>0</v>
      </c>
      <c r="O787" s="22" t="s">
        <v>59</v>
      </c>
      <c r="P787" s="22" t="s">
        <v>78</v>
      </c>
      <c r="Q787" s="23" t="s">
        <v>2281</v>
      </c>
      <c r="R787" s="23" t="s">
        <v>2282</v>
      </c>
      <c r="T787" s="23">
        <v>150</v>
      </c>
      <c r="V787" s="25" t="s">
        <v>61</v>
      </c>
      <c r="W787" s="65">
        <v>3</v>
      </c>
      <c r="X787" s="106" t="s">
        <v>202</v>
      </c>
      <c r="Y787" s="25" t="s">
        <v>2283</v>
      </c>
      <c r="Z787" s="83" t="s">
        <v>62</v>
      </c>
      <c r="AA787" s="6">
        <v>1</v>
      </c>
      <c r="AC787" s="5">
        <v>24</v>
      </c>
      <c r="AD787" s="5" t="s">
        <v>79</v>
      </c>
      <c r="AK787" s="6">
        <v>74</v>
      </c>
      <c r="AL787" s="6" t="s">
        <v>80</v>
      </c>
      <c r="BQ787" s="6" t="s">
        <v>353</v>
      </c>
      <c r="BR787" s="5" t="s">
        <v>2284</v>
      </c>
    </row>
    <row r="788" spans="1:70" x14ac:dyDescent="0.2">
      <c r="A788" s="253">
        <v>1052</v>
      </c>
      <c r="B788" s="229" t="s">
        <v>2019</v>
      </c>
      <c r="C788" s="259" t="s">
        <v>2020</v>
      </c>
      <c r="D788" s="229" t="s">
        <v>2314</v>
      </c>
      <c r="E788" s="3" t="s">
        <v>1958</v>
      </c>
      <c r="F788" s="26" t="s">
        <v>102</v>
      </c>
      <c r="G788" s="26" t="s">
        <v>75</v>
      </c>
      <c r="H788" s="26" t="s">
        <v>2312</v>
      </c>
      <c r="J788" s="22">
        <v>0.25</v>
      </c>
      <c r="L788" s="28" t="s">
        <v>57</v>
      </c>
      <c r="M788" s="22" t="s">
        <v>58</v>
      </c>
      <c r="N788" s="22">
        <v>0</v>
      </c>
      <c r="O788" s="22" t="s">
        <v>59</v>
      </c>
      <c r="P788" s="22" t="s">
        <v>78</v>
      </c>
      <c r="Q788" s="23" t="s">
        <v>2281</v>
      </c>
      <c r="R788" s="23" t="s">
        <v>2282</v>
      </c>
      <c r="T788" s="23">
        <v>150</v>
      </c>
      <c r="V788" s="25" t="s">
        <v>61</v>
      </c>
      <c r="W788" s="65">
        <v>3</v>
      </c>
      <c r="X788" s="106" t="s">
        <v>202</v>
      </c>
      <c r="Y788" s="25" t="s">
        <v>2283</v>
      </c>
      <c r="Z788" s="83" t="s">
        <v>62</v>
      </c>
      <c r="AA788" s="6">
        <v>1</v>
      </c>
      <c r="AC788" s="5">
        <v>26</v>
      </c>
      <c r="AD788" s="5" t="s">
        <v>79</v>
      </c>
      <c r="AK788" s="6">
        <v>86</v>
      </c>
      <c r="AL788" s="6" t="s">
        <v>80</v>
      </c>
      <c r="BQ788" s="6" t="s">
        <v>353</v>
      </c>
      <c r="BR788" s="5" t="s">
        <v>2284</v>
      </c>
    </row>
    <row r="789" spans="1:70" x14ac:dyDescent="0.2">
      <c r="A789" s="253">
        <v>1053</v>
      </c>
      <c r="B789" s="229" t="s">
        <v>2019</v>
      </c>
      <c r="C789" s="259" t="s">
        <v>2020</v>
      </c>
      <c r="D789" s="229" t="s">
        <v>2315</v>
      </c>
      <c r="E789" s="3" t="s">
        <v>1958</v>
      </c>
      <c r="F789" s="26" t="s">
        <v>102</v>
      </c>
      <c r="G789" s="26" t="s">
        <v>75</v>
      </c>
      <c r="H789" s="26" t="s">
        <v>2312</v>
      </c>
      <c r="J789" s="22">
        <v>0.25</v>
      </c>
      <c r="L789" s="28" t="s">
        <v>57</v>
      </c>
      <c r="M789" s="22" t="s">
        <v>58</v>
      </c>
      <c r="N789" s="22">
        <v>0</v>
      </c>
      <c r="O789" s="22" t="s">
        <v>59</v>
      </c>
      <c r="P789" s="22" t="s">
        <v>78</v>
      </c>
      <c r="Q789" s="23" t="s">
        <v>2281</v>
      </c>
      <c r="R789" s="23" t="s">
        <v>2282</v>
      </c>
      <c r="T789" s="23">
        <v>150</v>
      </c>
      <c r="V789" s="25" t="s">
        <v>61</v>
      </c>
      <c r="W789" s="65">
        <v>3</v>
      </c>
      <c r="X789" s="106" t="s">
        <v>202</v>
      </c>
      <c r="Y789" s="25" t="s">
        <v>2283</v>
      </c>
      <c r="Z789" s="83" t="s">
        <v>62</v>
      </c>
      <c r="AB789" s="6">
        <v>1</v>
      </c>
      <c r="AC789" s="5">
        <v>23</v>
      </c>
      <c r="AD789" s="5" t="s">
        <v>79</v>
      </c>
      <c r="AK789" s="6">
        <v>59</v>
      </c>
      <c r="AL789" s="6" t="s">
        <v>80</v>
      </c>
      <c r="BQ789" s="6" t="s">
        <v>353</v>
      </c>
      <c r="BR789" s="5" t="s">
        <v>2284</v>
      </c>
    </row>
    <row r="790" spans="1:70" x14ac:dyDescent="0.2">
      <c r="A790" s="253">
        <v>1054</v>
      </c>
      <c r="B790" s="229" t="s">
        <v>2019</v>
      </c>
      <c r="C790" s="259" t="s">
        <v>2020</v>
      </c>
      <c r="D790" s="229" t="s">
        <v>2316</v>
      </c>
      <c r="E790" s="3" t="s">
        <v>1958</v>
      </c>
      <c r="F790" s="26" t="s">
        <v>102</v>
      </c>
      <c r="G790" s="26" t="s">
        <v>75</v>
      </c>
      <c r="H790" s="26" t="s">
        <v>2312</v>
      </c>
      <c r="J790" s="22">
        <v>0.25</v>
      </c>
      <c r="L790" s="28" t="s">
        <v>57</v>
      </c>
      <c r="M790" s="22" t="s">
        <v>58</v>
      </c>
      <c r="N790" s="22">
        <v>0</v>
      </c>
      <c r="O790" s="22" t="s">
        <v>59</v>
      </c>
      <c r="P790" s="22" t="s">
        <v>78</v>
      </c>
      <c r="Q790" s="23" t="s">
        <v>2281</v>
      </c>
      <c r="R790" s="23" t="s">
        <v>2282</v>
      </c>
      <c r="T790" s="23">
        <v>150</v>
      </c>
      <c r="V790" s="25" t="s">
        <v>61</v>
      </c>
      <c r="W790" s="65">
        <v>3</v>
      </c>
      <c r="X790" s="106" t="s">
        <v>202</v>
      </c>
      <c r="Y790" s="25" t="s">
        <v>2283</v>
      </c>
      <c r="Z790" s="83" t="s">
        <v>62</v>
      </c>
      <c r="AB790" s="6">
        <v>1</v>
      </c>
      <c r="AC790" s="5">
        <v>25</v>
      </c>
      <c r="AD790" s="5" t="s">
        <v>79</v>
      </c>
      <c r="AK790" s="6">
        <v>59</v>
      </c>
      <c r="AL790" s="6" t="s">
        <v>80</v>
      </c>
      <c r="BQ790" s="6" t="s">
        <v>353</v>
      </c>
      <c r="BR790" s="5" t="s">
        <v>2284</v>
      </c>
    </row>
    <row r="791" spans="1:70" x14ac:dyDescent="0.2">
      <c r="A791" s="253">
        <v>1055</v>
      </c>
      <c r="B791" s="229" t="s">
        <v>2019</v>
      </c>
      <c r="C791" s="259" t="s">
        <v>2020</v>
      </c>
      <c r="D791" s="229" t="s">
        <v>2317</v>
      </c>
      <c r="E791" s="3" t="s">
        <v>1958</v>
      </c>
      <c r="F791" s="26" t="s">
        <v>102</v>
      </c>
      <c r="G791" s="26" t="s">
        <v>75</v>
      </c>
      <c r="H791" s="26" t="s">
        <v>2312</v>
      </c>
      <c r="J791" s="22">
        <v>0.25</v>
      </c>
      <c r="L791" s="28" t="s">
        <v>57</v>
      </c>
      <c r="M791" s="22" t="s">
        <v>58</v>
      </c>
      <c r="N791" s="22">
        <v>0</v>
      </c>
      <c r="O791" s="22" t="s">
        <v>59</v>
      </c>
      <c r="P791" s="22" t="s">
        <v>78</v>
      </c>
      <c r="Q791" s="23" t="s">
        <v>2281</v>
      </c>
      <c r="R791" s="23" t="s">
        <v>2282</v>
      </c>
      <c r="T791" s="23">
        <v>150</v>
      </c>
      <c r="V791" s="25" t="s">
        <v>61</v>
      </c>
      <c r="W791" s="65">
        <v>3</v>
      </c>
      <c r="X791" s="106" t="s">
        <v>202</v>
      </c>
      <c r="Y791" s="25" t="s">
        <v>2283</v>
      </c>
      <c r="Z791" s="83" t="s">
        <v>62</v>
      </c>
      <c r="AB791" s="6">
        <v>1</v>
      </c>
      <c r="AC791" s="5">
        <v>20</v>
      </c>
      <c r="AD791" s="5" t="s">
        <v>79</v>
      </c>
      <c r="AK791" s="6">
        <v>66</v>
      </c>
      <c r="AL791" s="6" t="s">
        <v>80</v>
      </c>
      <c r="BQ791" s="6" t="s">
        <v>353</v>
      </c>
      <c r="BR791" s="5" t="s">
        <v>2284</v>
      </c>
    </row>
    <row r="792" spans="1:70" x14ac:dyDescent="0.2">
      <c r="A792" s="253">
        <v>1056</v>
      </c>
      <c r="B792" s="229" t="s">
        <v>2019</v>
      </c>
      <c r="C792" s="259" t="s">
        <v>2020</v>
      </c>
      <c r="D792" s="229" t="s">
        <v>2318</v>
      </c>
      <c r="E792" s="3" t="s">
        <v>1958</v>
      </c>
      <c r="F792" s="26" t="s">
        <v>102</v>
      </c>
      <c r="G792" s="26" t="s">
        <v>75</v>
      </c>
      <c r="H792" s="26" t="s">
        <v>2312</v>
      </c>
      <c r="J792" s="22">
        <v>0.25</v>
      </c>
      <c r="L792" s="28" t="s">
        <v>57</v>
      </c>
      <c r="M792" s="22" t="s">
        <v>58</v>
      </c>
      <c r="N792" s="22">
        <v>0</v>
      </c>
      <c r="O792" s="22" t="s">
        <v>59</v>
      </c>
      <c r="P792" s="22" t="s">
        <v>78</v>
      </c>
      <c r="Q792" s="23" t="s">
        <v>2281</v>
      </c>
      <c r="R792" s="23" t="s">
        <v>2282</v>
      </c>
      <c r="T792" s="23">
        <v>150</v>
      </c>
      <c r="V792" s="25" t="s">
        <v>61</v>
      </c>
      <c r="W792" s="65">
        <v>3</v>
      </c>
      <c r="X792" s="106" t="s">
        <v>202</v>
      </c>
      <c r="Y792" s="25" t="s">
        <v>2283</v>
      </c>
      <c r="Z792" s="83" t="s">
        <v>62</v>
      </c>
      <c r="AA792" s="6">
        <v>1</v>
      </c>
      <c r="AC792" s="5">
        <v>25</v>
      </c>
      <c r="AD792" s="5" t="s">
        <v>79</v>
      </c>
      <c r="AK792" s="6">
        <v>77</v>
      </c>
      <c r="AL792" s="6" t="s">
        <v>80</v>
      </c>
      <c r="BQ792" s="6" t="s">
        <v>353</v>
      </c>
      <c r="BR792" s="5" t="s">
        <v>2284</v>
      </c>
    </row>
    <row r="793" spans="1:70" x14ac:dyDescent="0.2">
      <c r="A793" s="253">
        <v>1057</v>
      </c>
      <c r="B793" s="229" t="s">
        <v>2019</v>
      </c>
      <c r="C793" s="259" t="s">
        <v>2020</v>
      </c>
      <c r="D793" s="229" t="s">
        <v>2319</v>
      </c>
      <c r="E793" s="3" t="s">
        <v>1958</v>
      </c>
      <c r="F793" s="26" t="s">
        <v>102</v>
      </c>
      <c r="G793" s="26" t="s">
        <v>75</v>
      </c>
      <c r="H793" s="26" t="s">
        <v>2312</v>
      </c>
      <c r="J793" s="22">
        <v>0.25</v>
      </c>
      <c r="L793" s="28" t="s">
        <v>57</v>
      </c>
      <c r="M793" s="22" t="s">
        <v>58</v>
      </c>
      <c r="N793" s="22">
        <v>0</v>
      </c>
      <c r="O793" s="22" t="s">
        <v>59</v>
      </c>
      <c r="P793" s="22" t="s">
        <v>78</v>
      </c>
      <c r="Q793" s="23" t="s">
        <v>2281</v>
      </c>
      <c r="R793" s="23" t="s">
        <v>2282</v>
      </c>
      <c r="T793" s="23">
        <v>150</v>
      </c>
      <c r="V793" s="25" t="s">
        <v>61</v>
      </c>
      <c r="W793" s="65">
        <v>3</v>
      </c>
      <c r="X793" s="106" t="s">
        <v>202</v>
      </c>
      <c r="Y793" s="25" t="s">
        <v>2283</v>
      </c>
      <c r="Z793" s="83" t="s">
        <v>62</v>
      </c>
      <c r="AB793" s="6">
        <v>1</v>
      </c>
      <c r="AC793" s="5">
        <v>23</v>
      </c>
      <c r="AD793" s="5" t="s">
        <v>79</v>
      </c>
      <c r="AK793" s="6">
        <v>55</v>
      </c>
      <c r="AL793" s="6" t="s">
        <v>80</v>
      </c>
      <c r="BQ793" s="6" t="s">
        <v>353</v>
      </c>
      <c r="BR793" s="5" t="s">
        <v>2284</v>
      </c>
    </row>
    <row r="794" spans="1:70" x14ac:dyDescent="0.2">
      <c r="A794" s="253">
        <v>1058</v>
      </c>
      <c r="B794" s="229" t="s">
        <v>2019</v>
      </c>
      <c r="C794" s="259" t="s">
        <v>2020</v>
      </c>
      <c r="D794" s="229" t="s">
        <v>2320</v>
      </c>
      <c r="E794" s="3" t="s">
        <v>1958</v>
      </c>
      <c r="F794" s="26" t="s">
        <v>102</v>
      </c>
      <c r="G794" s="26" t="s">
        <v>75</v>
      </c>
      <c r="H794" s="26" t="s">
        <v>2312</v>
      </c>
      <c r="J794" s="22">
        <v>0.25</v>
      </c>
      <c r="L794" s="28" t="s">
        <v>57</v>
      </c>
      <c r="M794" s="22" t="s">
        <v>58</v>
      </c>
      <c r="N794" s="22">
        <v>0</v>
      </c>
      <c r="O794" s="22" t="s">
        <v>59</v>
      </c>
      <c r="P794" s="22" t="s">
        <v>78</v>
      </c>
      <c r="Q794" s="23" t="s">
        <v>2281</v>
      </c>
      <c r="R794" s="23" t="s">
        <v>2282</v>
      </c>
      <c r="T794" s="23">
        <v>150</v>
      </c>
      <c r="V794" s="25" t="s">
        <v>61</v>
      </c>
      <c r="W794" s="65">
        <v>3</v>
      </c>
      <c r="X794" s="106" t="s">
        <v>202</v>
      </c>
      <c r="Y794" s="25" t="s">
        <v>2283</v>
      </c>
      <c r="Z794" s="83" t="s">
        <v>62</v>
      </c>
      <c r="AB794" s="6">
        <v>1</v>
      </c>
      <c r="AC794" s="5">
        <v>26</v>
      </c>
      <c r="AD794" s="5" t="s">
        <v>79</v>
      </c>
      <c r="AK794" s="6">
        <v>62</v>
      </c>
      <c r="AL794" s="6" t="s">
        <v>80</v>
      </c>
      <c r="BQ794" s="6" t="s">
        <v>353</v>
      </c>
      <c r="BR794" s="5" t="s">
        <v>2284</v>
      </c>
    </row>
    <row r="795" spans="1:70" x14ac:dyDescent="0.2">
      <c r="A795" s="253">
        <v>1059</v>
      </c>
      <c r="B795" s="229" t="s">
        <v>2019</v>
      </c>
      <c r="C795" s="259" t="s">
        <v>2020</v>
      </c>
      <c r="D795" s="229" t="s">
        <v>2321</v>
      </c>
      <c r="E795" s="3" t="s">
        <v>1958</v>
      </c>
      <c r="F795" s="26" t="s">
        <v>102</v>
      </c>
      <c r="G795" s="26" t="s">
        <v>75</v>
      </c>
      <c r="H795" s="26" t="s">
        <v>2312</v>
      </c>
      <c r="J795" s="22">
        <v>0.25</v>
      </c>
      <c r="L795" s="28" t="s">
        <v>57</v>
      </c>
      <c r="M795" s="22" t="s">
        <v>58</v>
      </c>
      <c r="N795" s="22">
        <v>73</v>
      </c>
      <c r="O795" s="22" t="s">
        <v>59</v>
      </c>
      <c r="P795" s="22" t="s">
        <v>78</v>
      </c>
      <c r="Q795" s="23" t="s">
        <v>2281</v>
      </c>
      <c r="R795" s="23" t="s">
        <v>2282</v>
      </c>
      <c r="T795" s="23">
        <v>150</v>
      </c>
      <c r="V795" s="25" t="s">
        <v>61</v>
      </c>
      <c r="W795" s="65">
        <v>3</v>
      </c>
      <c r="X795" s="106" t="s">
        <v>202</v>
      </c>
      <c r="Y795" s="25" t="s">
        <v>2283</v>
      </c>
      <c r="Z795" s="83" t="s">
        <v>62</v>
      </c>
      <c r="AB795" s="6">
        <v>1</v>
      </c>
      <c r="AC795" s="5">
        <v>23</v>
      </c>
      <c r="AD795" s="5" t="s">
        <v>79</v>
      </c>
      <c r="AK795" s="6">
        <v>50</v>
      </c>
      <c r="AL795" s="6" t="s">
        <v>80</v>
      </c>
      <c r="BQ795" s="6" t="s">
        <v>353</v>
      </c>
      <c r="BR795" s="5" t="s">
        <v>2284</v>
      </c>
    </row>
    <row r="796" spans="1:70" x14ac:dyDescent="0.2">
      <c r="A796" s="253">
        <v>1060</v>
      </c>
      <c r="B796" s="229" t="s">
        <v>2019</v>
      </c>
      <c r="C796" s="259" t="s">
        <v>2020</v>
      </c>
      <c r="D796" s="229" t="s">
        <v>2322</v>
      </c>
      <c r="E796" s="3" t="s">
        <v>1958</v>
      </c>
      <c r="F796" s="26" t="s">
        <v>102</v>
      </c>
      <c r="G796" s="26" t="s">
        <v>75</v>
      </c>
      <c r="H796" s="26" t="s">
        <v>2312</v>
      </c>
      <c r="J796" s="22">
        <v>0.25</v>
      </c>
      <c r="L796" s="28" t="s">
        <v>57</v>
      </c>
      <c r="M796" s="22" t="s">
        <v>58</v>
      </c>
      <c r="N796" s="22">
        <v>73</v>
      </c>
      <c r="O796" s="22" t="s">
        <v>59</v>
      </c>
      <c r="P796" s="22" t="s">
        <v>78</v>
      </c>
      <c r="Q796" s="23" t="s">
        <v>2281</v>
      </c>
      <c r="R796" s="23" t="s">
        <v>2282</v>
      </c>
      <c r="T796" s="23">
        <v>150</v>
      </c>
      <c r="V796" s="25" t="s">
        <v>61</v>
      </c>
      <c r="W796" s="65">
        <v>3</v>
      </c>
      <c r="X796" s="106" t="s">
        <v>202</v>
      </c>
      <c r="Y796" s="25" t="s">
        <v>2283</v>
      </c>
      <c r="Z796" s="83" t="s">
        <v>62</v>
      </c>
      <c r="AA796" s="6">
        <v>1</v>
      </c>
      <c r="AC796" s="5">
        <v>24</v>
      </c>
      <c r="AD796" s="5" t="s">
        <v>79</v>
      </c>
      <c r="AK796" s="6">
        <v>74</v>
      </c>
      <c r="AL796" s="6" t="s">
        <v>80</v>
      </c>
      <c r="BQ796" s="6" t="s">
        <v>353</v>
      </c>
      <c r="BR796" s="5" t="s">
        <v>2284</v>
      </c>
    </row>
    <row r="797" spans="1:70" x14ac:dyDescent="0.2">
      <c r="A797" s="253">
        <v>1061</v>
      </c>
      <c r="B797" s="229" t="s">
        <v>2019</v>
      </c>
      <c r="C797" s="259" t="s">
        <v>2020</v>
      </c>
      <c r="D797" s="229" t="s">
        <v>2323</v>
      </c>
      <c r="E797" s="3" t="s">
        <v>1958</v>
      </c>
      <c r="F797" s="26" t="s">
        <v>102</v>
      </c>
      <c r="G797" s="26" t="s">
        <v>75</v>
      </c>
      <c r="H797" s="26" t="s">
        <v>2312</v>
      </c>
      <c r="J797" s="22">
        <v>0.25</v>
      </c>
      <c r="L797" s="28" t="s">
        <v>57</v>
      </c>
      <c r="M797" s="22" t="s">
        <v>58</v>
      </c>
      <c r="N797" s="22">
        <v>73</v>
      </c>
      <c r="O797" s="22" t="s">
        <v>59</v>
      </c>
      <c r="P797" s="22" t="s">
        <v>78</v>
      </c>
      <c r="Q797" s="23" t="s">
        <v>2281</v>
      </c>
      <c r="R797" s="23" t="s">
        <v>2282</v>
      </c>
      <c r="T797" s="23">
        <v>150</v>
      </c>
      <c r="V797" s="25" t="s">
        <v>61</v>
      </c>
      <c r="W797" s="65">
        <v>3</v>
      </c>
      <c r="X797" s="106" t="s">
        <v>202</v>
      </c>
      <c r="Y797" s="25" t="s">
        <v>2283</v>
      </c>
      <c r="Z797" s="83" t="s">
        <v>62</v>
      </c>
      <c r="AA797" s="6">
        <v>1</v>
      </c>
      <c r="AC797" s="5">
        <v>26</v>
      </c>
      <c r="AD797" s="5" t="s">
        <v>79</v>
      </c>
      <c r="AK797" s="6">
        <v>86</v>
      </c>
      <c r="AL797" s="6" t="s">
        <v>80</v>
      </c>
      <c r="BQ797" s="6" t="s">
        <v>353</v>
      </c>
      <c r="BR797" s="5" t="s">
        <v>2284</v>
      </c>
    </row>
    <row r="798" spans="1:70" x14ac:dyDescent="0.2">
      <c r="A798" s="253">
        <v>1062</v>
      </c>
      <c r="B798" s="229" t="s">
        <v>2019</v>
      </c>
      <c r="C798" s="259" t="s">
        <v>2020</v>
      </c>
      <c r="D798" s="229" t="s">
        <v>2324</v>
      </c>
      <c r="E798" s="3" t="s">
        <v>1958</v>
      </c>
      <c r="F798" s="26" t="s">
        <v>102</v>
      </c>
      <c r="G798" s="26" t="s">
        <v>75</v>
      </c>
      <c r="H798" s="26" t="s">
        <v>2312</v>
      </c>
      <c r="J798" s="22">
        <v>0.25</v>
      </c>
      <c r="L798" s="28" t="s">
        <v>57</v>
      </c>
      <c r="M798" s="22" t="s">
        <v>58</v>
      </c>
      <c r="N798" s="22">
        <v>73</v>
      </c>
      <c r="O798" s="22" t="s">
        <v>59</v>
      </c>
      <c r="P798" s="22" t="s">
        <v>78</v>
      </c>
      <c r="Q798" s="23" t="s">
        <v>2281</v>
      </c>
      <c r="R798" s="23" t="s">
        <v>2282</v>
      </c>
      <c r="T798" s="23">
        <v>150</v>
      </c>
      <c r="V798" s="25" t="s">
        <v>61</v>
      </c>
      <c r="W798" s="65">
        <v>3</v>
      </c>
      <c r="X798" s="106" t="s">
        <v>202</v>
      </c>
      <c r="Y798" s="25" t="s">
        <v>2283</v>
      </c>
      <c r="Z798" s="83" t="s">
        <v>62</v>
      </c>
      <c r="AB798" s="6">
        <v>1</v>
      </c>
      <c r="AC798" s="5">
        <v>23</v>
      </c>
      <c r="AD798" s="5" t="s">
        <v>79</v>
      </c>
      <c r="AK798" s="6">
        <v>59</v>
      </c>
      <c r="AL798" s="6" t="s">
        <v>80</v>
      </c>
      <c r="BQ798" s="6" t="s">
        <v>353</v>
      </c>
      <c r="BR798" s="5" t="s">
        <v>2284</v>
      </c>
    </row>
    <row r="799" spans="1:70" x14ac:dyDescent="0.2">
      <c r="A799" s="253">
        <v>1063</v>
      </c>
      <c r="B799" s="229" t="s">
        <v>2019</v>
      </c>
      <c r="C799" s="259" t="s">
        <v>2020</v>
      </c>
      <c r="D799" s="229" t="s">
        <v>2325</v>
      </c>
      <c r="E799" s="3" t="s">
        <v>1958</v>
      </c>
      <c r="F799" s="26" t="s">
        <v>102</v>
      </c>
      <c r="G799" s="26" t="s">
        <v>75</v>
      </c>
      <c r="H799" s="26" t="s">
        <v>2312</v>
      </c>
      <c r="J799" s="22">
        <v>0.25</v>
      </c>
      <c r="L799" s="28" t="s">
        <v>57</v>
      </c>
      <c r="M799" s="22" t="s">
        <v>58</v>
      </c>
      <c r="N799" s="22">
        <v>73</v>
      </c>
      <c r="O799" s="22" t="s">
        <v>59</v>
      </c>
      <c r="P799" s="22" t="s">
        <v>78</v>
      </c>
      <c r="Q799" s="23" t="s">
        <v>2281</v>
      </c>
      <c r="R799" s="23" t="s">
        <v>2282</v>
      </c>
      <c r="T799" s="23">
        <v>150</v>
      </c>
      <c r="V799" s="25" t="s">
        <v>61</v>
      </c>
      <c r="W799" s="65">
        <v>3</v>
      </c>
      <c r="X799" s="106" t="s">
        <v>202</v>
      </c>
      <c r="Y799" s="25" t="s">
        <v>2283</v>
      </c>
      <c r="Z799" s="83" t="s">
        <v>62</v>
      </c>
      <c r="AB799" s="6">
        <v>1</v>
      </c>
      <c r="AC799" s="5">
        <v>25</v>
      </c>
      <c r="AD799" s="5" t="s">
        <v>79</v>
      </c>
      <c r="AK799" s="6">
        <v>59</v>
      </c>
      <c r="AL799" s="6" t="s">
        <v>80</v>
      </c>
      <c r="BQ799" s="6" t="s">
        <v>353</v>
      </c>
      <c r="BR799" s="5" t="s">
        <v>2284</v>
      </c>
    </row>
    <row r="800" spans="1:70" x14ac:dyDescent="0.2">
      <c r="A800" s="253">
        <v>1064</v>
      </c>
      <c r="B800" s="229" t="s">
        <v>2019</v>
      </c>
      <c r="C800" s="259" t="s">
        <v>2020</v>
      </c>
      <c r="D800" s="229" t="s">
        <v>2326</v>
      </c>
      <c r="E800" s="3" t="s">
        <v>1958</v>
      </c>
      <c r="F800" s="26" t="s">
        <v>102</v>
      </c>
      <c r="G800" s="26" t="s">
        <v>75</v>
      </c>
      <c r="H800" s="26" t="s">
        <v>2312</v>
      </c>
      <c r="J800" s="22">
        <v>0.25</v>
      </c>
      <c r="L800" s="28" t="s">
        <v>57</v>
      </c>
      <c r="M800" s="22" t="s">
        <v>58</v>
      </c>
      <c r="N800" s="22">
        <v>73</v>
      </c>
      <c r="O800" s="22" t="s">
        <v>59</v>
      </c>
      <c r="P800" s="22" t="s">
        <v>78</v>
      </c>
      <c r="Q800" s="23" t="s">
        <v>2281</v>
      </c>
      <c r="R800" s="23" t="s">
        <v>2282</v>
      </c>
      <c r="T800" s="23">
        <v>150</v>
      </c>
      <c r="V800" s="25" t="s">
        <v>61</v>
      </c>
      <c r="W800" s="65">
        <v>3</v>
      </c>
      <c r="X800" s="106" t="s">
        <v>202</v>
      </c>
      <c r="Y800" s="25" t="s">
        <v>2283</v>
      </c>
      <c r="Z800" s="83" t="s">
        <v>62</v>
      </c>
      <c r="AB800" s="6">
        <v>1</v>
      </c>
      <c r="AC800" s="5">
        <v>20</v>
      </c>
      <c r="AD800" s="5" t="s">
        <v>79</v>
      </c>
      <c r="AK800" s="6">
        <v>66</v>
      </c>
      <c r="AL800" s="6" t="s">
        <v>80</v>
      </c>
      <c r="BQ800" s="6" t="s">
        <v>353</v>
      </c>
      <c r="BR800" s="5" t="s">
        <v>2284</v>
      </c>
    </row>
    <row r="801" spans="1:70" x14ac:dyDescent="0.2">
      <c r="A801" s="253">
        <v>1065</v>
      </c>
      <c r="B801" s="229" t="s">
        <v>2019</v>
      </c>
      <c r="C801" s="259" t="s">
        <v>2020</v>
      </c>
      <c r="D801" s="229" t="s">
        <v>2327</v>
      </c>
      <c r="E801" s="3" t="s">
        <v>1958</v>
      </c>
      <c r="F801" s="26" t="s">
        <v>102</v>
      </c>
      <c r="G801" s="26" t="s">
        <v>75</v>
      </c>
      <c r="H801" s="26" t="s">
        <v>2312</v>
      </c>
      <c r="J801" s="22">
        <v>0.25</v>
      </c>
      <c r="L801" s="28" t="s">
        <v>57</v>
      </c>
      <c r="M801" s="22" t="s">
        <v>58</v>
      </c>
      <c r="N801" s="22">
        <v>73</v>
      </c>
      <c r="O801" s="22" t="s">
        <v>59</v>
      </c>
      <c r="P801" s="22" t="s">
        <v>78</v>
      </c>
      <c r="Q801" s="23" t="s">
        <v>2281</v>
      </c>
      <c r="R801" s="23" t="s">
        <v>2282</v>
      </c>
      <c r="T801" s="23">
        <v>150</v>
      </c>
      <c r="V801" s="25" t="s">
        <v>61</v>
      </c>
      <c r="W801" s="65">
        <v>3</v>
      </c>
      <c r="X801" s="106" t="s">
        <v>202</v>
      </c>
      <c r="Y801" s="25" t="s">
        <v>2283</v>
      </c>
      <c r="Z801" s="83" t="s">
        <v>62</v>
      </c>
      <c r="AA801" s="6">
        <v>1</v>
      </c>
      <c r="AC801" s="5">
        <v>25</v>
      </c>
      <c r="AD801" s="5" t="s">
        <v>79</v>
      </c>
      <c r="AK801" s="6">
        <v>77</v>
      </c>
      <c r="AL801" s="6" t="s">
        <v>80</v>
      </c>
      <c r="BQ801" s="6" t="s">
        <v>353</v>
      </c>
      <c r="BR801" s="5" t="s">
        <v>2284</v>
      </c>
    </row>
    <row r="802" spans="1:70" x14ac:dyDescent="0.2">
      <c r="A802" s="253">
        <v>1066</v>
      </c>
      <c r="B802" s="229" t="s">
        <v>2019</v>
      </c>
      <c r="C802" s="259" t="s">
        <v>2020</v>
      </c>
      <c r="D802" s="229" t="s">
        <v>2328</v>
      </c>
      <c r="E802" s="3" t="s">
        <v>1958</v>
      </c>
      <c r="F802" s="26" t="s">
        <v>102</v>
      </c>
      <c r="G802" s="26" t="s">
        <v>75</v>
      </c>
      <c r="H802" s="26" t="s">
        <v>2312</v>
      </c>
      <c r="J802" s="22">
        <v>0.25</v>
      </c>
      <c r="L802" s="28" t="s">
        <v>57</v>
      </c>
      <c r="M802" s="22" t="s">
        <v>58</v>
      </c>
      <c r="N802" s="22">
        <v>73</v>
      </c>
      <c r="O802" s="22" t="s">
        <v>59</v>
      </c>
      <c r="P802" s="22" t="s">
        <v>78</v>
      </c>
      <c r="Q802" s="23" t="s">
        <v>2281</v>
      </c>
      <c r="R802" s="23" t="s">
        <v>2282</v>
      </c>
      <c r="T802" s="23">
        <v>150</v>
      </c>
      <c r="V802" s="25" t="s">
        <v>61</v>
      </c>
      <c r="W802" s="65">
        <v>3</v>
      </c>
      <c r="X802" s="106" t="s">
        <v>202</v>
      </c>
      <c r="Y802" s="25" t="s">
        <v>2283</v>
      </c>
      <c r="Z802" s="83" t="s">
        <v>62</v>
      </c>
      <c r="AB802" s="6">
        <v>1</v>
      </c>
      <c r="AC802" s="5">
        <v>23</v>
      </c>
      <c r="AD802" s="5" t="s">
        <v>79</v>
      </c>
      <c r="AK802" s="6">
        <v>55</v>
      </c>
      <c r="AL802" s="6" t="s">
        <v>80</v>
      </c>
      <c r="BQ802" s="6" t="s">
        <v>353</v>
      </c>
      <c r="BR802" s="5" t="s">
        <v>2284</v>
      </c>
    </row>
    <row r="803" spans="1:70" x14ac:dyDescent="0.2">
      <c r="A803" s="253">
        <v>1067</v>
      </c>
      <c r="B803" s="229" t="s">
        <v>2019</v>
      </c>
      <c r="C803" s="259" t="s">
        <v>2020</v>
      </c>
      <c r="D803" s="229" t="s">
        <v>2329</v>
      </c>
      <c r="E803" s="3" t="s">
        <v>1958</v>
      </c>
      <c r="F803" s="26" t="s">
        <v>102</v>
      </c>
      <c r="G803" s="26" t="s">
        <v>75</v>
      </c>
      <c r="H803" s="26" t="s">
        <v>2312</v>
      </c>
      <c r="J803" s="22">
        <v>0.25</v>
      </c>
      <c r="L803" s="28" t="s">
        <v>57</v>
      </c>
      <c r="M803" s="22" t="s">
        <v>58</v>
      </c>
      <c r="N803" s="22">
        <v>73</v>
      </c>
      <c r="O803" s="22" t="s">
        <v>59</v>
      </c>
      <c r="P803" s="22" t="s">
        <v>78</v>
      </c>
      <c r="Q803" s="23" t="s">
        <v>2281</v>
      </c>
      <c r="R803" s="23" t="s">
        <v>2282</v>
      </c>
      <c r="T803" s="23">
        <v>150</v>
      </c>
      <c r="V803" s="25" t="s">
        <v>61</v>
      </c>
      <c r="W803" s="65">
        <v>3</v>
      </c>
      <c r="X803" s="106" t="s">
        <v>202</v>
      </c>
      <c r="Y803" s="25" t="s">
        <v>2283</v>
      </c>
      <c r="Z803" s="83" t="s">
        <v>62</v>
      </c>
      <c r="AB803" s="6">
        <v>1</v>
      </c>
      <c r="AC803" s="5">
        <v>26</v>
      </c>
      <c r="AD803" s="5" t="s">
        <v>79</v>
      </c>
      <c r="AK803" s="6">
        <v>62</v>
      </c>
      <c r="AL803" s="6" t="s">
        <v>80</v>
      </c>
      <c r="BQ803" s="6" t="s">
        <v>353</v>
      </c>
      <c r="BR803" s="5" t="s">
        <v>2284</v>
      </c>
    </row>
    <row r="804" spans="1:70" x14ac:dyDescent="0.2">
      <c r="A804" s="253">
        <v>1068</v>
      </c>
      <c r="B804" s="229" t="s">
        <v>2019</v>
      </c>
      <c r="C804" s="259" t="s">
        <v>2020</v>
      </c>
      <c r="D804" s="229" t="s">
        <v>2330</v>
      </c>
      <c r="E804" s="3" t="s">
        <v>1958</v>
      </c>
      <c r="F804" s="26" t="s">
        <v>102</v>
      </c>
      <c r="G804" s="26" t="s">
        <v>75</v>
      </c>
      <c r="H804" s="26" t="s">
        <v>2312</v>
      </c>
      <c r="J804" s="22">
        <v>0.25</v>
      </c>
      <c r="L804" s="28" t="s">
        <v>57</v>
      </c>
      <c r="M804" s="22" t="s">
        <v>58</v>
      </c>
      <c r="N804" s="22">
        <v>73</v>
      </c>
      <c r="O804" s="22" t="s">
        <v>59</v>
      </c>
      <c r="P804" s="22" t="s">
        <v>78</v>
      </c>
      <c r="Q804" s="23" t="s">
        <v>2281</v>
      </c>
      <c r="R804" s="23" t="s">
        <v>2282</v>
      </c>
      <c r="T804" s="23">
        <v>150</v>
      </c>
      <c r="V804" s="25" t="s">
        <v>61</v>
      </c>
      <c r="W804" s="65">
        <v>3</v>
      </c>
      <c r="X804" s="106" t="s">
        <v>202</v>
      </c>
      <c r="Y804" s="25" t="s">
        <v>2283</v>
      </c>
      <c r="Z804" s="83" t="s">
        <v>62</v>
      </c>
      <c r="AB804" s="6">
        <v>1</v>
      </c>
      <c r="AC804" s="5">
        <v>23</v>
      </c>
      <c r="AD804" s="5" t="s">
        <v>79</v>
      </c>
      <c r="AK804" s="6">
        <v>50</v>
      </c>
      <c r="AL804" s="6" t="s">
        <v>80</v>
      </c>
      <c r="BQ804" s="6" t="s">
        <v>353</v>
      </c>
      <c r="BR804" s="5" t="s">
        <v>2284</v>
      </c>
    </row>
    <row r="805" spans="1:70" x14ac:dyDescent="0.2">
      <c r="A805" s="253">
        <v>1069</v>
      </c>
      <c r="B805" s="229" t="s">
        <v>2019</v>
      </c>
      <c r="C805" s="259" t="s">
        <v>2020</v>
      </c>
      <c r="D805" s="229" t="s">
        <v>2331</v>
      </c>
      <c r="E805" s="3" t="s">
        <v>1958</v>
      </c>
      <c r="F805" s="26" t="s">
        <v>102</v>
      </c>
      <c r="G805" s="26" t="s">
        <v>75</v>
      </c>
      <c r="H805" s="26" t="s">
        <v>2312</v>
      </c>
      <c r="J805" s="22">
        <v>0.25</v>
      </c>
      <c r="L805" s="28" t="s">
        <v>57</v>
      </c>
      <c r="M805" s="22" t="s">
        <v>58</v>
      </c>
      <c r="N805" s="22">
        <v>73</v>
      </c>
      <c r="O805" s="22" t="s">
        <v>59</v>
      </c>
      <c r="P805" s="22" t="s">
        <v>78</v>
      </c>
      <c r="Q805" s="23" t="s">
        <v>2281</v>
      </c>
      <c r="R805" s="23" t="s">
        <v>2282</v>
      </c>
      <c r="T805" s="23">
        <v>150</v>
      </c>
      <c r="V805" s="25" t="s">
        <v>61</v>
      </c>
      <c r="W805" s="65">
        <v>3</v>
      </c>
      <c r="X805" s="106" t="s">
        <v>202</v>
      </c>
      <c r="Y805" s="25" t="s">
        <v>2283</v>
      </c>
      <c r="Z805" s="83" t="s">
        <v>62</v>
      </c>
      <c r="AA805" s="6">
        <v>1</v>
      </c>
      <c r="AC805" s="5">
        <v>24</v>
      </c>
      <c r="AD805" s="5" t="s">
        <v>79</v>
      </c>
      <c r="AK805" s="6">
        <v>74</v>
      </c>
      <c r="AL805" s="6" t="s">
        <v>80</v>
      </c>
      <c r="BQ805" s="6" t="s">
        <v>353</v>
      </c>
      <c r="BR805" s="5" t="s">
        <v>2284</v>
      </c>
    </row>
    <row r="806" spans="1:70" x14ac:dyDescent="0.2">
      <c r="A806" s="253">
        <v>1070</v>
      </c>
      <c r="B806" s="229" t="s">
        <v>2019</v>
      </c>
      <c r="C806" s="259" t="s">
        <v>2020</v>
      </c>
      <c r="D806" s="229" t="s">
        <v>2332</v>
      </c>
      <c r="E806" s="3" t="s">
        <v>1958</v>
      </c>
      <c r="F806" s="26" t="s">
        <v>102</v>
      </c>
      <c r="G806" s="26" t="s">
        <v>75</v>
      </c>
      <c r="H806" s="26" t="s">
        <v>2312</v>
      </c>
      <c r="J806" s="22">
        <v>0.25</v>
      </c>
      <c r="L806" s="28" t="s">
        <v>57</v>
      </c>
      <c r="M806" s="22" t="s">
        <v>58</v>
      </c>
      <c r="N806" s="22">
        <v>73</v>
      </c>
      <c r="O806" s="22" t="s">
        <v>59</v>
      </c>
      <c r="P806" s="22" t="s">
        <v>78</v>
      </c>
      <c r="Q806" s="23" t="s">
        <v>2281</v>
      </c>
      <c r="R806" s="23" t="s">
        <v>2282</v>
      </c>
      <c r="T806" s="23">
        <v>150</v>
      </c>
      <c r="V806" s="25" t="s">
        <v>61</v>
      </c>
      <c r="W806" s="65">
        <v>3</v>
      </c>
      <c r="X806" s="106" t="s">
        <v>202</v>
      </c>
      <c r="Y806" s="25" t="s">
        <v>2283</v>
      </c>
      <c r="Z806" s="83" t="s">
        <v>62</v>
      </c>
      <c r="AA806" s="6">
        <v>1</v>
      </c>
      <c r="AC806" s="5">
        <v>26</v>
      </c>
      <c r="AD806" s="5" t="s">
        <v>79</v>
      </c>
      <c r="AK806" s="6">
        <v>86</v>
      </c>
      <c r="AL806" s="6" t="s">
        <v>80</v>
      </c>
      <c r="BQ806" s="6" t="s">
        <v>353</v>
      </c>
      <c r="BR806" s="5" t="s">
        <v>2284</v>
      </c>
    </row>
    <row r="807" spans="1:70" x14ac:dyDescent="0.2">
      <c r="A807" s="253">
        <v>1071</v>
      </c>
      <c r="B807" s="229" t="s">
        <v>2019</v>
      </c>
      <c r="C807" s="259" t="s">
        <v>2020</v>
      </c>
      <c r="D807" s="229" t="s">
        <v>2333</v>
      </c>
      <c r="E807" s="3" t="s">
        <v>1958</v>
      </c>
      <c r="F807" s="26" t="s">
        <v>102</v>
      </c>
      <c r="G807" s="26" t="s">
        <v>75</v>
      </c>
      <c r="H807" s="26" t="s">
        <v>2312</v>
      </c>
      <c r="J807" s="22">
        <v>0.25</v>
      </c>
      <c r="L807" s="28" t="s">
        <v>57</v>
      </c>
      <c r="M807" s="22" t="s">
        <v>58</v>
      </c>
      <c r="N807" s="22">
        <v>73</v>
      </c>
      <c r="O807" s="22" t="s">
        <v>59</v>
      </c>
      <c r="P807" s="22" t="s">
        <v>78</v>
      </c>
      <c r="Q807" s="23" t="s">
        <v>2281</v>
      </c>
      <c r="R807" s="23" t="s">
        <v>2282</v>
      </c>
      <c r="T807" s="23">
        <v>150</v>
      </c>
      <c r="V807" s="25" t="s">
        <v>61</v>
      </c>
      <c r="W807" s="65">
        <v>3</v>
      </c>
      <c r="X807" s="106" t="s">
        <v>202</v>
      </c>
      <c r="Y807" s="25" t="s">
        <v>2283</v>
      </c>
      <c r="Z807" s="83" t="s">
        <v>62</v>
      </c>
      <c r="AB807" s="6">
        <v>1</v>
      </c>
      <c r="AC807" s="5">
        <v>23</v>
      </c>
      <c r="AD807" s="5" t="s">
        <v>79</v>
      </c>
      <c r="AK807" s="6">
        <v>59</v>
      </c>
      <c r="AL807" s="6" t="s">
        <v>80</v>
      </c>
      <c r="BQ807" s="6" t="s">
        <v>353</v>
      </c>
      <c r="BR807" s="5" t="s">
        <v>2284</v>
      </c>
    </row>
    <row r="808" spans="1:70" x14ac:dyDescent="0.2">
      <c r="A808" s="253">
        <v>1072</v>
      </c>
      <c r="B808" s="229" t="s">
        <v>2019</v>
      </c>
      <c r="C808" s="259" t="s">
        <v>2020</v>
      </c>
      <c r="D808" s="229" t="s">
        <v>2334</v>
      </c>
      <c r="E808" s="3" t="s">
        <v>1958</v>
      </c>
      <c r="F808" s="26" t="s">
        <v>102</v>
      </c>
      <c r="G808" s="26" t="s">
        <v>75</v>
      </c>
      <c r="H808" s="26" t="s">
        <v>2312</v>
      </c>
      <c r="J808" s="22">
        <v>0.25</v>
      </c>
      <c r="L808" s="28" t="s">
        <v>57</v>
      </c>
      <c r="M808" s="22" t="s">
        <v>58</v>
      </c>
      <c r="N808" s="22">
        <v>73</v>
      </c>
      <c r="O808" s="22" t="s">
        <v>59</v>
      </c>
      <c r="P808" s="22" t="s">
        <v>78</v>
      </c>
      <c r="Q808" s="23" t="s">
        <v>2281</v>
      </c>
      <c r="R808" s="177" t="s">
        <v>2282</v>
      </c>
      <c r="T808" s="23">
        <v>150</v>
      </c>
      <c r="V808" s="25" t="s">
        <v>61</v>
      </c>
      <c r="W808" s="65">
        <v>3</v>
      </c>
      <c r="X808" s="106" t="s">
        <v>202</v>
      </c>
      <c r="Y808" s="25" t="s">
        <v>2283</v>
      </c>
      <c r="Z808" s="83" t="s">
        <v>62</v>
      </c>
      <c r="AB808" s="6">
        <v>1</v>
      </c>
      <c r="AC808" s="5">
        <v>25</v>
      </c>
      <c r="AD808" s="163" t="s">
        <v>79</v>
      </c>
      <c r="AE808" s="163"/>
      <c r="AG808" s="163"/>
      <c r="AH808" s="163"/>
      <c r="AK808" s="6">
        <v>59</v>
      </c>
      <c r="AL808" s="6" t="s">
        <v>80</v>
      </c>
      <c r="BQ808" s="6" t="s">
        <v>353</v>
      </c>
      <c r="BR808" s="163" t="s">
        <v>2284</v>
      </c>
    </row>
    <row r="809" spans="1:70" x14ac:dyDescent="0.2">
      <c r="A809" s="253">
        <v>1073</v>
      </c>
      <c r="B809" s="229" t="s">
        <v>2019</v>
      </c>
      <c r="C809" s="259" t="s">
        <v>2020</v>
      </c>
      <c r="D809" s="229" t="s">
        <v>2335</v>
      </c>
      <c r="E809" s="3" t="s">
        <v>1958</v>
      </c>
      <c r="F809" s="26" t="s">
        <v>102</v>
      </c>
      <c r="G809" s="26" t="s">
        <v>75</v>
      </c>
      <c r="H809" s="26" t="s">
        <v>2312</v>
      </c>
      <c r="J809" s="22">
        <v>0.25</v>
      </c>
      <c r="L809" s="28" t="s">
        <v>57</v>
      </c>
      <c r="M809" s="22" t="s">
        <v>58</v>
      </c>
      <c r="N809" s="22">
        <v>73</v>
      </c>
      <c r="O809" s="22" t="s">
        <v>59</v>
      </c>
      <c r="P809" s="22" t="s">
        <v>78</v>
      </c>
      <c r="Q809" s="23" t="s">
        <v>2281</v>
      </c>
      <c r="R809" s="177" t="s">
        <v>2282</v>
      </c>
      <c r="T809" s="23">
        <v>150</v>
      </c>
      <c r="V809" s="25" t="s">
        <v>61</v>
      </c>
      <c r="W809" s="65">
        <v>3</v>
      </c>
      <c r="X809" s="106" t="s">
        <v>202</v>
      </c>
      <c r="Y809" s="25" t="s">
        <v>2283</v>
      </c>
      <c r="Z809" s="83" t="s">
        <v>62</v>
      </c>
      <c r="AB809" s="6">
        <v>1</v>
      </c>
      <c r="AC809" s="5">
        <v>20</v>
      </c>
      <c r="AD809" s="163" t="s">
        <v>79</v>
      </c>
      <c r="AE809" s="163"/>
      <c r="AG809" s="163"/>
      <c r="AH809" s="163"/>
      <c r="AK809" s="6">
        <v>66</v>
      </c>
      <c r="AL809" s="6" t="s">
        <v>80</v>
      </c>
      <c r="BQ809" s="6" t="s">
        <v>353</v>
      </c>
      <c r="BR809" s="163" t="s">
        <v>2284</v>
      </c>
    </row>
    <row r="810" spans="1:70" x14ac:dyDescent="0.2">
      <c r="A810" s="253">
        <v>1074</v>
      </c>
      <c r="B810" s="229" t="s">
        <v>2019</v>
      </c>
      <c r="C810" s="259" t="s">
        <v>2020</v>
      </c>
      <c r="D810" s="229" t="s">
        <v>2336</v>
      </c>
      <c r="E810" s="3" t="s">
        <v>1958</v>
      </c>
      <c r="F810" s="26" t="s">
        <v>102</v>
      </c>
      <c r="G810" s="26" t="s">
        <v>75</v>
      </c>
      <c r="H810" s="26" t="s">
        <v>2312</v>
      </c>
      <c r="J810" s="22">
        <v>0.25</v>
      </c>
      <c r="L810" s="28" t="s">
        <v>57</v>
      </c>
      <c r="M810" s="22" t="s">
        <v>58</v>
      </c>
      <c r="N810" s="22">
        <v>73</v>
      </c>
      <c r="O810" s="22" t="s">
        <v>59</v>
      </c>
      <c r="P810" s="22" t="s">
        <v>78</v>
      </c>
      <c r="Q810" s="23" t="s">
        <v>2281</v>
      </c>
      <c r="R810" s="23" t="s">
        <v>2282</v>
      </c>
      <c r="T810" s="23">
        <v>150</v>
      </c>
      <c r="V810" s="25" t="s">
        <v>61</v>
      </c>
      <c r="W810" s="65">
        <v>3</v>
      </c>
      <c r="X810" s="106" t="s">
        <v>202</v>
      </c>
      <c r="Y810" s="25" t="s">
        <v>2283</v>
      </c>
      <c r="Z810" s="83" t="s">
        <v>62</v>
      </c>
      <c r="AA810" s="6">
        <v>1</v>
      </c>
      <c r="AC810" s="5">
        <v>25</v>
      </c>
      <c r="AD810" s="5" t="s">
        <v>79</v>
      </c>
      <c r="AK810" s="6">
        <v>77</v>
      </c>
      <c r="AL810" s="6" t="s">
        <v>80</v>
      </c>
      <c r="BQ810" s="6" t="s">
        <v>353</v>
      </c>
      <c r="BR810" s="5" t="s">
        <v>2284</v>
      </c>
    </row>
    <row r="811" spans="1:70" x14ac:dyDescent="0.2">
      <c r="A811" s="253">
        <v>1075</v>
      </c>
      <c r="B811" s="229" t="s">
        <v>2019</v>
      </c>
      <c r="C811" s="259" t="s">
        <v>2020</v>
      </c>
      <c r="D811" s="229" t="s">
        <v>2337</v>
      </c>
      <c r="E811" s="3" t="s">
        <v>1958</v>
      </c>
      <c r="F811" s="26" t="s">
        <v>102</v>
      </c>
      <c r="G811" s="26" t="s">
        <v>75</v>
      </c>
      <c r="H811" s="26" t="s">
        <v>2312</v>
      </c>
      <c r="J811" s="22">
        <v>0.25</v>
      </c>
      <c r="L811" s="28" t="s">
        <v>57</v>
      </c>
      <c r="M811" s="22" t="s">
        <v>58</v>
      </c>
      <c r="N811" s="22">
        <v>73</v>
      </c>
      <c r="O811" s="22" t="s">
        <v>59</v>
      </c>
      <c r="P811" s="22" t="s">
        <v>78</v>
      </c>
      <c r="Q811" s="23" t="s">
        <v>2281</v>
      </c>
      <c r="R811" s="23" t="s">
        <v>2282</v>
      </c>
      <c r="T811" s="23">
        <v>150</v>
      </c>
      <c r="V811" s="25" t="s">
        <v>61</v>
      </c>
      <c r="W811" s="65">
        <v>3</v>
      </c>
      <c r="X811" s="106" t="s">
        <v>202</v>
      </c>
      <c r="Y811" s="25" t="s">
        <v>2283</v>
      </c>
      <c r="Z811" s="83" t="s">
        <v>62</v>
      </c>
      <c r="AB811" s="6">
        <v>1</v>
      </c>
      <c r="AC811" s="5">
        <v>23</v>
      </c>
      <c r="AD811" s="5" t="s">
        <v>79</v>
      </c>
      <c r="AK811" s="6">
        <v>55</v>
      </c>
      <c r="AL811" s="6" t="s">
        <v>80</v>
      </c>
      <c r="BQ811" s="6" t="s">
        <v>353</v>
      </c>
      <c r="BR811" s="5" t="s">
        <v>2284</v>
      </c>
    </row>
    <row r="812" spans="1:70" x14ac:dyDescent="0.2">
      <c r="A812" s="253">
        <v>1076</v>
      </c>
      <c r="B812" s="229" t="s">
        <v>2019</v>
      </c>
      <c r="C812" s="259" t="s">
        <v>2020</v>
      </c>
      <c r="D812" s="229" t="s">
        <v>2338</v>
      </c>
      <c r="E812" s="3" t="s">
        <v>1958</v>
      </c>
      <c r="F812" s="26" t="s">
        <v>102</v>
      </c>
      <c r="G812" s="26" t="s">
        <v>75</v>
      </c>
      <c r="H812" s="26" t="s">
        <v>2312</v>
      </c>
      <c r="J812" s="22">
        <v>0.25</v>
      </c>
      <c r="L812" s="28" t="s">
        <v>57</v>
      </c>
      <c r="M812" s="22" t="s">
        <v>58</v>
      </c>
      <c r="N812" s="22">
        <v>73</v>
      </c>
      <c r="O812" s="22" t="s">
        <v>59</v>
      </c>
      <c r="P812" s="22" t="s">
        <v>78</v>
      </c>
      <c r="Q812" s="23" t="s">
        <v>2281</v>
      </c>
      <c r="R812" s="23" t="s">
        <v>2282</v>
      </c>
      <c r="T812" s="23">
        <v>150</v>
      </c>
      <c r="V812" s="25" t="s">
        <v>61</v>
      </c>
      <c r="W812" s="65">
        <v>3</v>
      </c>
      <c r="X812" s="106" t="s">
        <v>202</v>
      </c>
      <c r="Y812" s="25" t="s">
        <v>2283</v>
      </c>
      <c r="Z812" s="83" t="s">
        <v>62</v>
      </c>
      <c r="AB812" s="6">
        <v>1</v>
      </c>
      <c r="AC812" s="5">
        <v>26</v>
      </c>
      <c r="AD812" s="5" t="s">
        <v>79</v>
      </c>
      <c r="AK812" s="6">
        <v>62</v>
      </c>
      <c r="AL812" s="6" t="s">
        <v>80</v>
      </c>
      <c r="BQ812" s="6" t="s">
        <v>353</v>
      </c>
      <c r="BR812" s="5" t="s">
        <v>2284</v>
      </c>
    </row>
    <row r="813" spans="1:70" x14ac:dyDescent="0.2">
      <c r="A813" s="253">
        <v>1077</v>
      </c>
      <c r="B813" s="229" t="s">
        <v>2339</v>
      </c>
      <c r="C813" s="259" t="s">
        <v>2340</v>
      </c>
      <c r="D813" s="229" t="s">
        <v>2341</v>
      </c>
      <c r="E813" s="3" t="s">
        <v>1958</v>
      </c>
      <c r="F813" s="26" t="s">
        <v>102</v>
      </c>
      <c r="G813" s="26" t="s">
        <v>55</v>
      </c>
      <c r="H813" s="26" t="s">
        <v>56</v>
      </c>
      <c r="J813" s="22">
        <v>0.25</v>
      </c>
      <c r="L813" s="28" t="s">
        <v>57</v>
      </c>
      <c r="M813" s="22" t="s">
        <v>58</v>
      </c>
      <c r="N813" s="22">
        <v>0</v>
      </c>
      <c r="O813" s="22" t="s">
        <v>59</v>
      </c>
      <c r="P813" s="22" t="s">
        <v>78</v>
      </c>
      <c r="R813" s="23" t="s">
        <v>2282</v>
      </c>
      <c r="T813" s="23">
        <v>150</v>
      </c>
      <c r="V813" s="25" t="s">
        <v>613</v>
      </c>
      <c r="W813" s="65">
        <v>3</v>
      </c>
      <c r="X813" s="106" t="s">
        <v>202</v>
      </c>
      <c r="Y813" s="25" t="s">
        <v>2342</v>
      </c>
      <c r="Z813" s="83" t="s">
        <v>62</v>
      </c>
      <c r="AA813" s="6">
        <v>10</v>
      </c>
      <c r="AB813" s="6">
        <v>4</v>
      </c>
      <c r="AD813" s="5" t="s">
        <v>79</v>
      </c>
      <c r="AI813" s="5">
        <v>19</v>
      </c>
      <c r="AJ813" s="5">
        <v>27</v>
      </c>
      <c r="AL813" s="6" t="s">
        <v>80</v>
      </c>
      <c r="AQ813" s="6">
        <v>50</v>
      </c>
      <c r="AR813" s="6">
        <v>80</v>
      </c>
      <c r="BQ813" s="6" t="s">
        <v>353</v>
      </c>
      <c r="BR813" s="5" t="s">
        <v>2343</v>
      </c>
    </row>
    <row r="814" spans="1:70" x14ac:dyDescent="0.2">
      <c r="A814" s="253">
        <v>1078</v>
      </c>
      <c r="B814" s="229" t="s">
        <v>2339</v>
      </c>
      <c r="C814" s="259" t="s">
        <v>2340</v>
      </c>
      <c r="D814" s="229" t="s">
        <v>2344</v>
      </c>
      <c r="E814" s="3" t="s">
        <v>1958</v>
      </c>
      <c r="F814" s="26" t="s">
        <v>102</v>
      </c>
      <c r="G814" s="26" t="s">
        <v>55</v>
      </c>
      <c r="H814" s="26" t="s">
        <v>56</v>
      </c>
      <c r="J814" s="22">
        <v>0.25</v>
      </c>
      <c r="L814" s="28" t="s">
        <v>57</v>
      </c>
      <c r="M814" s="22" t="s">
        <v>58</v>
      </c>
      <c r="N814" s="22">
        <v>0</v>
      </c>
      <c r="O814" s="22" t="s">
        <v>59</v>
      </c>
      <c r="P814" s="22" t="s">
        <v>78</v>
      </c>
      <c r="R814" s="23" t="s">
        <v>2282</v>
      </c>
      <c r="T814" s="23">
        <v>150</v>
      </c>
      <c r="V814" s="25" t="s">
        <v>613</v>
      </c>
      <c r="W814" s="65">
        <v>3</v>
      </c>
      <c r="X814" s="106" t="s">
        <v>202</v>
      </c>
      <c r="Y814" s="25" t="s">
        <v>2342</v>
      </c>
      <c r="Z814" s="83" t="s">
        <v>62</v>
      </c>
      <c r="AA814" s="6">
        <v>10</v>
      </c>
      <c r="AB814" s="6">
        <v>4</v>
      </c>
      <c r="AD814" s="5" t="s">
        <v>79</v>
      </c>
      <c r="AI814" s="5">
        <v>19</v>
      </c>
      <c r="AJ814" s="5">
        <v>27</v>
      </c>
      <c r="AL814" s="6" t="s">
        <v>80</v>
      </c>
      <c r="AQ814" s="6">
        <v>50</v>
      </c>
      <c r="AR814" s="6">
        <v>80</v>
      </c>
      <c r="BQ814" s="6" t="s">
        <v>353</v>
      </c>
      <c r="BR814" s="5" t="s">
        <v>2343</v>
      </c>
    </row>
    <row r="815" spans="1:70" x14ac:dyDescent="0.2">
      <c r="A815" s="253">
        <v>1079</v>
      </c>
      <c r="B815" s="229" t="s">
        <v>2339</v>
      </c>
      <c r="C815" s="259" t="s">
        <v>2340</v>
      </c>
      <c r="D815" s="229" t="s">
        <v>2345</v>
      </c>
      <c r="E815" s="3" t="s">
        <v>1958</v>
      </c>
      <c r="F815" s="26" t="s">
        <v>102</v>
      </c>
      <c r="G815" s="26" t="s">
        <v>55</v>
      </c>
      <c r="H815" s="26" t="s">
        <v>56</v>
      </c>
      <c r="J815" s="22">
        <v>0.25</v>
      </c>
      <c r="L815" s="28" t="s">
        <v>57</v>
      </c>
      <c r="M815" s="22" t="s">
        <v>58</v>
      </c>
      <c r="N815" s="22">
        <v>3</v>
      </c>
      <c r="O815" s="22" t="s">
        <v>59</v>
      </c>
      <c r="P815" s="22" t="s">
        <v>78</v>
      </c>
      <c r="R815" s="23" t="s">
        <v>2282</v>
      </c>
      <c r="T815" s="23">
        <v>150</v>
      </c>
      <c r="V815" s="25" t="s">
        <v>613</v>
      </c>
      <c r="W815" s="65">
        <v>3</v>
      </c>
      <c r="X815" s="106" t="s">
        <v>202</v>
      </c>
      <c r="Y815" s="25" t="s">
        <v>2342</v>
      </c>
      <c r="Z815" s="83" t="s">
        <v>62</v>
      </c>
      <c r="AA815" s="6">
        <v>10</v>
      </c>
      <c r="AB815" s="6">
        <v>4</v>
      </c>
      <c r="AD815" s="5" t="s">
        <v>79</v>
      </c>
      <c r="AI815" s="5">
        <v>19</v>
      </c>
      <c r="AJ815" s="5">
        <v>27</v>
      </c>
      <c r="AL815" s="6" t="s">
        <v>80</v>
      </c>
      <c r="AQ815" s="6">
        <v>50</v>
      </c>
      <c r="AR815" s="6">
        <v>80</v>
      </c>
      <c r="BQ815" s="6" t="s">
        <v>353</v>
      </c>
      <c r="BR815" s="5" t="s">
        <v>2343</v>
      </c>
    </row>
    <row r="816" spans="1:70" x14ac:dyDescent="0.2">
      <c r="A816" s="253">
        <v>1080</v>
      </c>
      <c r="B816" s="229" t="s">
        <v>2339</v>
      </c>
      <c r="C816" s="259" t="s">
        <v>2340</v>
      </c>
      <c r="D816" s="229" t="s">
        <v>2346</v>
      </c>
      <c r="E816" s="3" t="s">
        <v>1958</v>
      </c>
      <c r="F816" s="26" t="s">
        <v>102</v>
      </c>
      <c r="G816" s="26" t="s">
        <v>55</v>
      </c>
      <c r="H816" s="26" t="s">
        <v>56</v>
      </c>
      <c r="J816" s="22">
        <v>0.25</v>
      </c>
      <c r="L816" s="28" t="s">
        <v>57</v>
      </c>
      <c r="M816" s="22" t="s">
        <v>58</v>
      </c>
      <c r="N816" s="22">
        <v>12</v>
      </c>
      <c r="O816" s="22" t="s">
        <v>59</v>
      </c>
      <c r="P816" s="22" t="s">
        <v>78</v>
      </c>
      <c r="R816" s="23" t="s">
        <v>2282</v>
      </c>
      <c r="T816" s="23">
        <v>150</v>
      </c>
      <c r="V816" s="25" t="s">
        <v>613</v>
      </c>
      <c r="W816" s="65">
        <v>3</v>
      </c>
      <c r="X816" s="106" t="s">
        <v>202</v>
      </c>
      <c r="Y816" s="25" t="s">
        <v>2342</v>
      </c>
      <c r="Z816" s="83" t="s">
        <v>62</v>
      </c>
      <c r="AA816" s="6">
        <v>10</v>
      </c>
      <c r="AB816" s="6">
        <v>4</v>
      </c>
      <c r="AD816" s="5" t="s">
        <v>79</v>
      </c>
      <c r="AI816" s="5">
        <v>19</v>
      </c>
      <c r="AJ816" s="5">
        <v>27</v>
      </c>
      <c r="AL816" s="6" t="s">
        <v>80</v>
      </c>
      <c r="AQ816" s="6">
        <v>50</v>
      </c>
      <c r="AR816" s="6">
        <v>80</v>
      </c>
      <c r="BQ816" s="6" t="s">
        <v>353</v>
      </c>
      <c r="BR816" s="5" t="s">
        <v>2343</v>
      </c>
    </row>
    <row r="817" spans="1:70" x14ac:dyDescent="0.2">
      <c r="A817" s="253">
        <v>1081</v>
      </c>
      <c r="B817" s="229" t="s">
        <v>2339</v>
      </c>
      <c r="C817" s="259" t="s">
        <v>2340</v>
      </c>
      <c r="D817" s="229" t="s">
        <v>2347</v>
      </c>
      <c r="E817" s="3" t="s">
        <v>1958</v>
      </c>
      <c r="F817" s="26" t="s">
        <v>102</v>
      </c>
      <c r="G817" s="26" t="s">
        <v>55</v>
      </c>
      <c r="H817" s="26" t="s">
        <v>56</v>
      </c>
      <c r="J817" s="22">
        <v>0.25</v>
      </c>
      <c r="L817" s="28" t="s">
        <v>57</v>
      </c>
      <c r="M817" s="22" t="s">
        <v>58</v>
      </c>
      <c r="N817" s="22">
        <v>24</v>
      </c>
      <c r="O817" s="22" t="s">
        <v>59</v>
      </c>
      <c r="P817" s="22" t="s">
        <v>78</v>
      </c>
      <c r="R817" s="23" t="s">
        <v>2282</v>
      </c>
      <c r="T817" s="23">
        <v>150</v>
      </c>
      <c r="V817" s="25" t="s">
        <v>613</v>
      </c>
      <c r="W817" s="65">
        <v>3</v>
      </c>
      <c r="X817" s="106" t="s">
        <v>202</v>
      </c>
      <c r="Y817" s="25" t="s">
        <v>2342</v>
      </c>
      <c r="Z817" s="83" t="s">
        <v>62</v>
      </c>
      <c r="AA817" s="6">
        <v>10</v>
      </c>
      <c r="AB817" s="6">
        <v>4</v>
      </c>
      <c r="AD817" s="5" t="s">
        <v>79</v>
      </c>
      <c r="AI817" s="5">
        <v>19</v>
      </c>
      <c r="AJ817" s="5">
        <v>27</v>
      </c>
      <c r="AL817" s="6" t="s">
        <v>80</v>
      </c>
      <c r="AQ817" s="6">
        <v>50</v>
      </c>
      <c r="AR817" s="6">
        <v>80</v>
      </c>
      <c r="BQ817" s="6" t="s">
        <v>353</v>
      </c>
      <c r="BR817" s="5" t="s">
        <v>2343</v>
      </c>
    </row>
    <row r="818" spans="1:70" x14ac:dyDescent="0.2">
      <c r="A818" s="253">
        <v>1082</v>
      </c>
      <c r="B818" s="229" t="s">
        <v>2339</v>
      </c>
      <c r="C818" s="259" t="s">
        <v>2340</v>
      </c>
      <c r="D818" s="229" t="s">
        <v>2348</v>
      </c>
      <c r="E818" s="3" t="s">
        <v>148</v>
      </c>
      <c r="F818" s="26" t="s">
        <v>102</v>
      </c>
      <c r="G818" s="26" t="s">
        <v>55</v>
      </c>
      <c r="H818" s="26" t="s">
        <v>56</v>
      </c>
      <c r="J818" s="22">
        <v>200</v>
      </c>
      <c r="L818" s="28" t="s">
        <v>57</v>
      </c>
      <c r="M818" s="22" t="s">
        <v>58</v>
      </c>
      <c r="N818" s="22">
        <v>0</v>
      </c>
      <c r="O818" s="22" t="s">
        <v>59</v>
      </c>
      <c r="P818" s="22" t="s">
        <v>78</v>
      </c>
      <c r="R818" s="23" t="s">
        <v>2349</v>
      </c>
      <c r="V818" s="25" t="s">
        <v>613</v>
      </c>
      <c r="W818" s="65">
        <v>3</v>
      </c>
      <c r="Y818" s="25" t="s">
        <v>2350</v>
      </c>
      <c r="Z818" s="83" t="s">
        <v>62</v>
      </c>
      <c r="AA818" s="6">
        <v>10</v>
      </c>
      <c r="AB818" s="6">
        <v>4</v>
      </c>
      <c r="AD818" s="5" t="s">
        <v>79</v>
      </c>
      <c r="AI818" s="5">
        <v>19</v>
      </c>
      <c r="AJ818" s="5">
        <v>27</v>
      </c>
      <c r="AL818" s="6" t="s">
        <v>80</v>
      </c>
      <c r="AQ818" s="6">
        <v>50</v>
      </c>
      <c r="AR818" s="6">
        <v>80</v>
      </c>
      <c r="BQ818" s="6" t="s">
        <v>353</v>
      </c>
      <c r="BR818" s="5" t="s">
        <v>2343</v>
      </c>
    </row>
    <row r="819" spans="1:70" x14ac:dyDescent="0.2">
      <c r="A819" s="253">
        <v>1083</v>
      </c>
      <c r="B819" s="229" t="s">
        <v>2339</v>
      </c>
      <c r="C819" s="259" t="s">
        <v>2340</v>
      </c>
      <c r="D819" s="229" t="s">
        <v>2351</v>
      </c>
      <c r="E819" s="3" t="s">
        <v>148</v>
      </c>
      <c r="F819" s="26" t="s">
        <v>102</v>
      </c>
      <c r="G819" s="26" t="s">
        <v>55</v>
      </c>
      <c r="H819" s="26" t="s">
        <v>56</v>
      </c>
      <c r="J819" s="22">
        <v>200</v>
      </c>
      <c r="L819" s="28" t="s">
        <v>57</v>
      </c>
      <c r="M819" s="22" t="s">
        <v>58</v>
      </c>
      <c r="N819" s="22">
        <v>0</v>
      </c>
      <c r="O819" s="22" t="s">
        <v>59</v>
      </c>
      <c r="P819" s="22" t="s">
        <v>78</v>
      </c>
      <c r="R819" s="23" t="s">
        <v>2349</v>
      </c>
      <c r="V819" s="25" t="s">
        <v>642</v>
      </c>
      <c r="W819" s="65">
        <v>0</v>
      </c>
      <c r="Y819" s="25" t="s">
        <v>2352</v>
      </c>
      <c r="Z819" s="83" t="s">
        <v>62</v>
      </c>
      <c r="AA819" s="6">
        <v>10</v>
      </c>
      <c r="AB819" s="6">
        <v>4</v>
      </c>
      <c r="AD819" s="5" t="s">
        <v>79</v>
      </c>
      <c r="AI819" s="5">
        <v>19</v>
      </c>
      <c r="AJ819" s="5">
        <v>27</v>
      </c>
      <c r="AL819" s="6" t="s">
        <v>80</v>
      </c>
      <c r="AQ819" s="6">
        <v>50</v>
      </c>
      <c r="AR819" s="6">
        <v>80</v>
      </c>
      <c r="BQ819" s="6" t="s">
        <v>353</v>
      </c>
      <c r="BR819" s="5" t="s">
        <v>2343</v>
      </c>
    </row>
    <row r="820" spans="1:70" x14ac:dyDescent="0.2">
      <c r="A820" s="253">
        <v>1084</v>
      </c>
      <c r="B820" s="229" t="s">
        <v>2339</v>
      </c>
      <c r="C820" s="259" t="s">
        <v>2340</v>
      </c>
      <c r="D820" s="229" t="s">
        <v>2353</v>
      </c>
      <c r="E820" s="3" t="s">
        <v>148</v>
      </c>
      <c r="F820" s="26" t="s">
        <v>102</v>
      </c>
      <c r="G820" s="26" t="s">
        <v>55</v>
      </c>
      <c r="H820" s="26" t="s">
        <v>56</v>
      </c>
      <c r="J820" s="22">
        <v>200</v>
      </c>
      <c r="L820" s="28" t="s">
        <v>57</v>
      </c>
      <c r="M820" s="22" t="s">
        <v>58</v>
      </c>
      <c r="N820" s="22">
        <v>0</v>
      </c>
      <c r="O820" s="22" t="s">
        <v>59</v>
      </c>
      <c r="P820" s="22" t="s">
        <v>78</v>
      </c>
      <c r="R820" s="23" t="s">
        <v>2349</v>
      </c>
      <c r="V820" s="25" t="s">
        <v>642</v>
      </c>
      <c r="W820" s="65">
        <v>0</v>
      </c>
      <c r="Y820" s="25" t="s">
        <v>2354</v>
      </c>
      <c r="Z820" s="83" t="s">
        <v>62</v>
      </c>
      <c r="AA820" s="6">
        <v>10</v>
      </c>
      <c r="AB820" s="6">
        <v>4</v>
      </c>
      <c r="AD820" s="5" t="s">
        <v>79</v>
      </c>
      <c r="AI820" s="5">
        <v>19</v>
      </c>
      <c r="AJ820" s="5">
        <v>27</v>
      </c>
      <c r="AL820" s="6" t="s">
        <v>80</v>
      </c>
      <c r="AQ820" s="6">
        <v>50</v>
      </c>
      <c r="AR820" s="6">
        <v>80</v>
      </c>
      <c r="BQ820" s="6" t="s">
        <v>353</v>
      </c>
      <c r="BR820" s="5" t="s">
        <v>2343</v>
      </c>
    </row>
    <row r="821" spans="1:70" x14ac:dyDescent="0.2">
      <c r="A821" s="253">
        <v>1085</v>
      </c>
      <c r="B821" s="229" t="s">
        <v>2339</v>
      </c>
      <c r="C821" s="259" t="s">
        <v>2340</v>
      </c>
      <c r="D821" s="229" t="s">
        <v>2355</v>
      </c>
      <c r="E821" s="3" t="s">
        <v>148</v>
      </c>
      <c r="F821" s="26" t="s">
        <v>102</v>
      </c>
      <c r="G821" s="26" t="s">
        <v>55</v>
      </c>
      <c r="H821" s="26" t="s">
        <v>56</v>
      </c>
      <c r="J821" s="22">
        <v>200</v>
      </c>
      <c r="L821" s="28" t="s">
        <v>57</v>
      </c>
      <c r="M821" s="22" t="s">
        <v>58</v>
      </c>
      <c r="N821" s="22">
        <v>0</v>
      </c>
      <c r="O821" s="22" t="s">
        <v>59</v>
      </c>
      <c r="P821" s="22" t="s">
        <v>78</v>
      </c>
      <c r="R821" s="23" t="s">
        <v>2349</v>
      </c>
      <c r="V821" s="25" t="s">
        <v>642</v>
      </c>
      <c r="W821" s="65">
        <v>0</v>
      </c>
      <c r="Y821" s="25" t="s">
        <v>2354</v>
      </c>
      <c r="Z821" s="83" t="s">
        <v>62</v>
      </c>
      <c r="AA821" s="6">
        <v>10</v>
      </c>
      <c r="AB821" s="6">
        <v>4</v>
      </c>
      <c r="AD821" s="5" t="s">
        <v>79</v>
      </c>
      <c r="AI821" s="5">
        <v>19</v>
      </c>
      <c r="AJ821" s="5">
        <v>27</v>
      </c>
      <c r="AL821" s="6" t="s">
        <v>80</v>
      </c>
      <c r="AQ821" s="6">
        <v>50</v>
      </c>
      <c r="AR821" s="6">
        <v>80</v>
      </c>
      <c r="BQ821" s="6" t="s">
        <v>353</v>
      </c>
      <c r="BR821" s="5" t="s">
        <v>2343</v>
      </c>
    </row>
    <row r="822" spans="1:70" x14ac:dyDescent="0.2">
      <c r="A822" s="256">
        <v>1086</v>
      </c>
      <c r="B822" s="229" t="s">
        <v>2356</v>
      </c>
      <c r="C822" s="259" t="s">
        <v>2357</v>
      </c>
      <c r="D822" s="229" t="s">
        <v>2358</v>
      </c>
      <c r="E822" s="3" t="s">
        <v>101</v>
      </c>
      <c r="F822" s="26" t="s">
        <v>102</v>
      </c>
      <c r="G822" s="26" t="s">
        <v>55</v>
      </c>
      <c r="H822" s="26" t="s">
        <v>2359</v>
      </c>
      <c r="J822" s="22">
        <v>10</v>
      </c>
      <c r="L822" s="28" t="s">
        <v>57</v>
      </c>
      <c r="M822" s="22" t="s">
        <v>58</v>
      </c>
      <c r="N822" s="22">
        <v>0</v>
      </c>
      <c r="O822" s="22" t="s">
        <v>59</v>
      </c>
      <c r="P822" s="22" t="s">
        <v>78</v>
      </c>
      <c r="Q822" s="23" t="s">
        <v>902</v>
      </c>
      <c r="R822" s="23" t="s">
        <v>2360</v>
      </c>
      <c r="U822" s="23" t="s">
        <v>2361</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2362</v>
      </c>
      <c r="AU822" s="5" t="s">
        <v>334</v>
      </c>
      <c r="AV822" s="5">
        <v>11.5</v>
      </c>
      <c r="AW822" s="5" t="s">
        <v>2362</v>
      </c>
      <c r="AX822" s="5" t="s">
        <v>116</v>
      </c>
      <c r="BQ822" s="6" t="s">
        <v>2363</v>
      </c>
      <c r="BR822" s="5" t="s">
        <v>2364</v>
      </c>
    </row>
    <row r="823" spans="1:70" x14ac:dyDescent="0.2">
      <c r="A823" s="256">
        <v>1087</v>
      </c>
      <c r="B823" s="229" t="s">
        <v>2356</v>
      </c>
      <c r="C823" s="259" t="s">
        <v>2357</v>
      </c>
      <c r="D823" s="229" t="s">
        <v>2365</v>
      </c>
      <c r="E823" s="3" t="s">
        <v>101</v>
      </c>
      <c r="F823" s="26" t="s">
        <v>102</v>
      </c>
      <c r="G823" s="26" t="s">
        <v>55</v>
      </c>
      <c r="H823" s="26" t="s">
        <v>2359</v>
      </c>
      <c r="J823" s="22">
        <v>10</v>
      </c>
      <c r="L823" s="28" t="s">
        <v>57</v>
      </c>
      <c r="M823" s="22" t="s">
        <v>58</v>
      </c>
      <c r="N823" s="22">
        <v>265</v>
      </c>
      <c r="O823" s="22" t="s">
        <v>59</v>
      </c>
      <c r="P823" s="22" t="s">
        <v>78</v>
      </c>
      <c r="Q823" s="23" t="s">
        <v>902</v>
      </c>
      <c r="R823" s="23" t="s">
        <v>2360</v>
      </c>
      <c r="U823" s="23" t="s">
        <v>2361</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2362</v>
      </c>
      <c r="AU823" s="5" t="s">
        <v>334</v>
      </c>
      <c r="AV823" s="5">
        <v>11.5</v>
      </c>
      <c r="AW823" s="5" t="s">
        <v>2362</v>
      </c>
      <c r="AX823" s="5" t="s">
        <v>116</v>
      </c>
      <c r="BQ823" s="6" t="s">
        <v>2363</v>
      </c>
      <c r="BR823" s="5" t="s">
        <v>2364</v>
      </c>
    </row>
    <row r="824" spans="1:70" x14ac:dyDescent="0.2">
      <c r="A824" s="256">
        <v>1088</v>
      </c>
      <c r="B824" s="229" t="s">
        <v>2356</v>
      </c>
      <c r="C824" s="259" t="s">
        <v>2357</v>
      </c>
      <c r="D824" s="229" t="s">
        <v>2366</v>
      </c>
      <c r="E824" s="3" t="s">
        <v>101</v>
      </c>
      <c r="F824" s="26" t="s">
        <v>102</v>
      </c>
      <c r="G824" s="26" t="s">
        <v>55</v>
      </c>
      <c r="H824" s="26" t="s">
        <v>2359</v>
      </c>
      <c r="J824" s="22">
        <v>10</v>
      </c>
      <c r="L824" s="28" t="s">
        <v>57</v>
      </c>
      <c r="M824" s="22" t="s">
        <v>58</v>
      </c>
      <c r="N824" s="176">
        <v>0</v>
      </c>
      <c r="O824" s="22" t="s">
        <v>59</v>
      </c>
      <c r="P824" s="22" t="s">
        <v>78</v>
      </c>
      <c r="Q824" s="23" t="s">
        <v>902</v>
      </c>
      <c r="R824" s="23" t="s">
        <v>2360</v>
      </c>
      <c r="U824" s="23" t="s">
        <v>2361</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2362</v>
      </c>
      <c r="AU824" s="5" t="s">
        <v>334</v>
      </c>
      <c r="AV824" s="5">
        <v>11.5</v>
      </c>
      <c r="AW824" s="5" t="s">
        <v>2362</v>
      </c>
      <c r="AX824" s="5" t="s">
        <v>116</v>
      </c>
      <c r="BQ824" s="6" t="s">
        <v>2363</v>
      </c>
      <c r="BR824" s="5" t="s">
        <v>2364</v>
      </c>
    </row>
    <row r="825" spans="1:70" x14ac:dyDescent="0.2">
      <c r="A825" s="256">
        <v>1089</v>
      </c>
      <c r="B825" s="229" t="s">
        <v>2356</v>
      </c>
      <c r="C825" s="259" t="s">
        <v>2357</v>
      </c>
      <c r="D825" s="229" t="s">
        <v>2367</v>
      </c>
      <c r="E825" s="3" t="s">
        <v>101</v>
      </c>
      <c r="F825" s="26" t="s">
        <v>102</v>
      </c>
      <c r="G825" s="26" t="s">
        <v>55</v>
      </c>
      <c r="H825" s="26" t="s">
        <v>2359</v>
      </c>
      <c r="J825" s="22">
        <v>10</v>
      </c>
      <c r="L825" s="28" t="s">
        <v>57</v>
      </c>
      <c r="M825" s="22" t="s">
        <v>58</v>
      </c>
      <c r="N825" s="176">
        <v>265</v>
      </c>
      <c r="O825" s="22" t="s">
        <v>59</v>
      </c>
      <c r="P825" s="22" t="s">
        <v>78</v>
      </c>
      <c r="Q825" s="23" t="s">
        <v>902</v>
      </c>
      <c r="R825" s="23" t="s">
        <v>2360</v>
      </c>
      <c r="U825" s="23" t="s">
        <v>2361</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2362</v>
      </c>
      <c r="AU825" s="5" t="s">
        <v>334</v>
      </c>
      <c r="AV825" s="5">
        <v>11.5</v>
      </c>
      <c r="AW825" s="5" t="s">
        <v>2362</v>
      </c>
      <c r="AX825" s="5" t="s">
        <v>116</v>
      </c>
      <c r="BQ825" s="6" t="s">
        <v>2363</v>
      </c>
      <c r="BR825" s="5" t="s">
        <v>2364</v>
      </c>
    </row>
    <row r="826" spans="1:70" x14ac:dyDescent="0.2">
      <c r="A826" s="256">
        <v>1090</v>
      </c>
      <c r="B826" s="229" t="s">
        <v>2368</v>
      </c>
      <c r="C826" s="259" t="s">
        <v>2369</v>
      </c>
      <c r="D826" s="229" t="s">
        <v>2370</v>
      </c>
      <c r="E826" s="3" t="s">
        <v>101</v>
      </c>
      <c r="F826" s="26" t="s">
        <v>102</v>
      </c>
      <c r="G826" s="26" t="s">
        <v>55</v>
      </c>
      <c r="H826" s="26" t="s">
        <v>76</v>
      </c>
      <c r="I826" s="26" t="s">
        <v>2743</v>
      </c>
      <c r="J826" s="22">
        <v>1</v>
      </c>
      <c r="L826" s="28" t="s">
        <v>57</v>
      </c>
      <c r="M826" s="22" t="s">
        <v>77</v>
      </c>
      <c r="N826" s="176">
        <v>0</v>
      </c>
      <c r="O826" s="22" t="s">
        <v>59</v>
      </c>
      <c r="P826" s="22" t="s">
        <v>78</v>
      </c>
      <c r="Q826" s="23" t="s">
        <v>619</v>
      </c>
      <c r="R826" s="23" t="s">
        <v>2371</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2372</v>
      </c>
      <c r="BR826" s="5" t="s">
        <v>2373</v>
      </c>
    </row>
    <row r="827" spans="1:70" x14ac:dyDescent="0.2">
      <c r="A827" s="256">
        <v>1091</v>
      </c>
      <c r="B827" s="229" t="s">
        <v>2368</v>
      </c>
      <c r="C827" s="259" t="s">
        <v>2369</v>
      </c>
      <c r="D827" s="229" t="s">
        <v>2374</v>
      </c>
      <c r="E827" s="3" t="s">
        <v>101</v>
      </c>
      <c r="F827" s="26" t="s">
        <v>102</v>
      </c>
      <c r="G827" s="26" t="s">
        <v>55</v>
      </c>
      <c r="H827" s="26" t="s">
        <v>76</v>
      </c>
      <c r="I827" s="26" t="s">
        <v>2743</v>
      </c>
      <c r="J827" s="22">
        <v>1</v>
      </c>
      <c r="L827" s="28" t="s">
        <v>57</v>
      </c>
      <c r="M827" s="22" t="s">
        <v>77</v>
      </c>
      <c r="N827" s="176">
        <v>73</v>
      </c>
      <c r="O827" s="22" t="s">
        <v>59</v>
      </c>
      <c r="P827" s="22" t="s">
        <v>78</v>
      </c>
      <c r="Q827" s="23" t="s">
        <v>619</v>
      </c>
      <c r="R827" s="23" t="s">
        <v>2371</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2372</v>
      </c>
      <c r="BR827" s="5" t="s">
        <v>2373</v>
      </c>
    </row>
    <row r="828" spans="1:70" x14ac:dyDescent="0.2">
      <c r="A828" s="256">
        <v>1092</v>
      </c>
      <c r="B828" s="229" t="s">
        <v>2368</v>
      </c>
      <c r="C828" s="259" t="s">
        <v>2369</v>
      </c>
      <c r="D828" s="229" t="s">
        <v>2375</v>
      </c>
      <c r="E828" s="3" t="s">
        <v>101</v>
      </c>
      <c r="F828" s="26" t="s">
        <v>102</v>
      </c>
      <c r="G828" s="26" t="s">
        <v>55</v>
      </c>
      <c r="H828" s="26" t="s">
        <v>76</v>
      </c>
      <c r="I828" s="26" t="s">
        <v>2743</v>
      </c>
      <c r="J828" s="22">
        <v>2.5</v>
      </c>
      <c r="L828" s="28" t="s">
        <v>57</v>
      </c>
      <c r="M828" s="22" t="s">
        <v>77</v>
      </c>
      <c r="N828" s="176">
        <v>216</v>
      </c>
      <c r="O828" s="22" t="s">
        <v>59</v>
      </c>
      <c r="P828" s="22" t="s">
        <v>78</v>
      </c>
      <c r="Q828" s="23" t="s">
        <v>619</v>
      </c>
      <c r="R828" s="23" t="s">
        <v>2371</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2372</v>
      </c>
      <c r="BR828" s="5" t="s">
        <v>2373</v>
      </c>
    </row>
    <row r="829" spans="1:70" x14ac:dyDescent="0.2">
      <c r="A829" s="256">
        <v>1093</v>
      </c>
      <c r="B829" s="229" t="s">
        <v>2376</v>
      </c>
      <c r="C829" s="259" t="s">
        <v>2377</v>
      </c>
      <c r="D829" s="229" t="s">
        <v>2378</v>
      </c>
      <c r="E829" s="3" t="s">
        <v>101</v>
      </c>
      <c r="F829" s="26" t="s">
        <v>102</v>
      </c>
      <c r="G829" s="26" t="s">
        <v>55</v>
      </c>
      <c r="H829" s="26" t="s">
        <v>2379</v>
      </c>
      <c r="J829" s="22">
        <v>1</v>
      </c>
      <c r="L829" s="28" t="s">
        <v>57</v>
      </c>
      <c r="M829" s="22" t="s">
        <v>77</v>
      </c>
      <c r="N829" s="176">
        <v>0</v>
      </c>
      <c r="O829" s="22" t="s">
        <v>59</v>
      </c>
      <c r="P829" s="22" t="s">
        <v>78</v>
      </c>
      <c r="Q829" s="23" t="s">
        <v>2380</v>
      </c>
      <c r="R829" s="23" t="s">
        <v>2371</v>
      </c>
      <c r="V829" s="25" t="s">
        <v>613</v>
      </c>
      <c r="W829" s="65">
        <v>10</v>
      </c>
      <c r="Y829" s="25" t="s">
        <v>2381</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2372</v>
      </c>
      <c r="BR829" s="5" t="s">
        <v>2382</v>
      </c>
    </row>
    <row r="830" spans="1:70" x14ac:dyDescent="0.2">
      <c r="A830" s="256">
        <v>1094</v>
      </c>
      <c r="B830" s="229" t="s">
        <v>2376</v>
      </c>
      <c r="C830" s="259" t="s">
        <v>2377</v>
      </c>
      <c r="D830" s="229" t="s">
        <v>2383</v>
      </c>
      <c r="E830" s="3" t="s">
        <v>101</v>
      </c>
      <c r="F830" s="26" t="s">
        <v>102</v>
      </c>
      <c r="G830" s="26" t="s">
        <v>55</v>
      </c>
      <c r="H830" s="26" t="s">
        <v>2379</v>
      </c>
      <c r="J830" s="22">
        <v>1</v>
      </c>
      <c r="L830" s="28" t="s">
        <v>57</v>
      </c>
      <c r="M830" s="22" t="s">
        <v>77</v>
      </c>
      <c r="N830" s="176">
        <v>73</v>
      </c>
      <c r="O830" s="22" t="s">
        <v>59</v>
      </c>
      <c r="P830" s="22" t="s">
        <v>78</v>
      </c>
      <c r="Q830" s="23" t="s">
        <v>2380</v>
      </c>
      <c r="R830" s="23" t="s">
        <v>2371</v>
      </c>
      <c r="V830" s="25" t="s">
        <v>613</v>
      </c>
      <c r="W830" s="65">
        <v>10</v>
      </c>
      <c r="Y830" s="25" t="s">
        <v>2381</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2372</v>
      </c>
      <c r="BR830" s="5" t="s">
        <v>2382</v>
      </c>
    </row>
    <row r="831" spans="1:70" x14ac:dyDescent="0.2">
      <c r="A831" s="256">
        <v>1095</v>
      </c>
      <c r="B831" s="229" t="s">
        <v>2376</v>
      </c>
      <c r="C831" s="259" t="s">
        <v>2377</v>
      </c>
      <c r="D831" s="229" t="s">
        <v>2384</v>
      </c>
      <c r="E831" s="3" t="s">
        <v>101</v>
      </c>
      <c r="F831" s="26" t="s">
        <v>102</v>
      </c>
      <c r="G831" s="26" t="s">
        <v>55</v>
      </c>
      <c r="H831" s="26" t="s">
        <v>2379</v>
      </c>
      <c r="J831" s="22">
        <v>2.5</v>
      </c>
      <c r="L831" s="28" t="s">
        <v>57</v>
      </c>
      <c r="M831" s="22" t="s">
        <v>77</v>
      </c>
      <c r="N831" s="176">
        <v>216</v>
      </c>
      <c r="O831" s="22" t="s">
        <v>59</v>
      </c>
      <c r="P831" s="22" t="s">
        <v>78</v>
      </c>
      <c r="Q831" s="23" t="s">
        <v>2380</v>
      </c>
      <c r="R831" s="23" t="s">
        <v>2371</v>
      </c>
      <c r="V831" s="25" t="s">
        <v>613</v>
      </c>
      <c r="W831" s="65">
        <v>10</v>
      </c>
      <c r="Y831" s="25" t="s">
        <v>2381</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2372</v>
      </c>
      <c r="BR831" s="5" t="s">
        <v>2382</v>
      </c>
    </row>
    <row r="832" spans="1:70" x14ac:dyDescent="0.2">
      <c r="A832" s="257">
        <v>1096</v>
      </c>
      <c r="B832" s="229" t="s">
        <v>2385</v>
      </c>
      <c r="C832" s="259" t="s">
        <v>2386</v>
      </c>
      <c r="D832" s="229" t="s">
        <v>2387</v>
      </c>
      <c r="E832" s="3" t="s">
        <v>101</v>
      </c>
      <c r="F832" s="26" t="s">
        <v>102</v>
      </c>
      <c r="G832" s="26" t="s">
        <v>55</v>
      </c>
      <c r="H832" s="26" t="s">
        <v>2388</v>
      </c>
      <c r="I832" s="26" t="s">
        <v>2389</v>
      </c>
      <c r="J832" s="22">
        <v>10</v>
      </c>
      <c r="L832" s="28" t="s">
        <v>448</v>
      </c>
      <c r="M832" s="22" t="s">
        <v>58</v>
      </c>
      <c r="N832" s="22">
        <v>0</v>
      </c>
      <c r="O832" s="22" t="s">
        <v>59</v>
      </c>
      <c r="P832" s="22" t="s">
        <v>78</v>
      </c>
      <c r="Q832" s="23" t="s">
        <v>2390</v>
      </c>
      <c r="R832" s="23" t="s">
        <v>2391</v>
      </c>
      <c r="T832" s="23" t="s">
        <v>2392</v>
      </c>
      <c r="U832" s="23" t="s">
        <v>2393</v>
      </c>
      <c r="Z832" s="83" t="s">
        <v>62</v>
      </c>
      <c r="AA832" s="6">
        <v>12</v>
      </c>
      <c r="AD832" s="5" t="s">
        <v>79</v>
      </c>
      <c r="AI832" s="5">
        <v>19</v>
      </c>
      <c r="AJ832" s="5">
        <v>55</v>
      </c>
      <c r="BB832" s="6" t="s">
        <v>366</v>
      </c>
      <c r="BG832" s="6">
        <v>18.5</v>
      </c>
      <c r="BH832" s="6">
        <v>32</v>
      </c>
      <c r="BQ832" s="6" t="s">
        <v>213</v>
      </c>
      <c r="BR832" s="5" t="s">
        <v>2394</v>
      </c>
    </row>
    <row r="833" spans="1:70" x14ac:dyDescent="0.2">
      <c r="A833" s="257">
        <v>1097</v>
      </c>
      <c r="B833" s="229" t="s">
        <v>2385</v>
      </c>
      <c r="C833" s="259" t="s">
        <v>2386</v>
      </c>
      <c r="D833" s="229" t="s">
        <v>2395</v>
      </c>
      <c r="E833" s="3" t="s">
        <v>101</v>
      </c>
      <c r="F833" s="26" t="s">
        <v>102</v>
      </c>
      <c r="G833" s="26" t="s">
        <v>55</v>
      </c>
      <c r="H833" s="26" t="s">
        <v>2388</v>
      </c>
      <c r="I833" s="26" t="s">
        <v>2389</v>
      </c>
      <c r="J833" s="22">
        <v>10</v>
      </c>
      <c r="L833" s="28" t="s">
        <v>448</v>
      </c>
      <c r="M833" s="22" t="s">
        <v>58</v>
      </c>
      <c r="N833" s="22">
        <v>72</v>
      </c>
      <c r="O833" s="22" t="s">
        <v>59</v>
      </c>
      <c r="P833" s="22" t="s">
        <v>78</v>
      </c>
      <c r="Q833" s="23" t="s">
        <v>2390</v>
      </c>
      <c r="R833" s="23" t="s">
        <v>2391</v>
      </c>
      <c r="T833" s="23" t="s">
        <v>2392</v>
      </c>
      <c r="U833" s="23" t="s">
        <v>2393</v>
      </c>
      <c r="Z833" s="83" t="s">
        <v>62</v>
      </c>
      <c r="AA833" s="6">
        <v>8</v>
      </c>
      <c r="AD833" s="5" t="s">
        <v>79</v>
      </c>
      <c r="AI833" s="5">
        <v>19</v>
      </c>
      <c r="AJ833" s="5">
        <v>55</v>
      </c>
      <c r="BB833" s="6" t="s">
        <v>366</v>
      </c>
      <c r="BG833" s="6">
        <v>18.5</v>
      </c>
      <c r="BH833" s="6">
        <v>32</v>
      </c>
      <c r="BQ833" s="6" t="s">
        <v>213</v>
      </c>
      <c r="BR833" s="5" t="s">
        <v>2394</v>
      </c>
    </row>
    <row r="834" spans="1:70" x14ac:dyDescent="0.2">
      <c r="A834" s="257">
        <v>1098</v>
      </c>
      <c r="B834" s="229" t="s">
        <v>2385</v>
      </c>
      <c r="C834" s="259" t="s">
        <v>2386</v>
      </c>
      <c r="D834" s="229" t="s">
        <v>2396</v>
      </c>
      <c r="E834" s="3" t="s">
        <v>101</v>
      </c>
      <c r="F834" s="26" t="s">
        <v>102</v>
      </c>
      <c r="G834" s="26" t="s">
        <v>55</v>
      </c>
      <c r="H834" s="26" t="s">
        <v>2388</v>
      </c>
      <c r="I834" s="26" t="s">
        <v>2389</v>
      </c>
      <c r="J834" s="22">
        <v>10</v>
      </c>
      <c r="L834" s="28" t="s">
        <v>448</v>
      </c>
      <c r="M834" s="22" t="s">
        <v>58</v>
      </c>
      <c r="N834" s="22">
        <v>0</v>
      </c>
      <c r="O834" s="22" t="s">
        <v>59</v>
      </c>
      <c r="P834" s="22" t="s">
        <v>78</v>
      </c>
      <c r="Q834" s="23" t="s">
        <v>2390</v>
      </c>
      <c r="R834" s="23" t="s">
        <v>2391</v>
      </c>
      <c r="T834" s="23" t="s">
        <v>2392</v>
      </c>
      <c r="U834" s="23" t="s">
        <v>2393</v>
      </c>
      <c r="Z834" s="83" t="s">
        <v>62</v>
      </c>
      <c r="AA834" s="6">
        <v>8</v>
      </c>
      <c r="AD834" s="5" t="s">
        <v>79</v>
      </c>
      <c r="AI834" s="5">
        <v>19</v>
      </c>
      <c r="AJ834" s="5">
        <v>55</v>
      </c>
      <c r="BB834" s="6" t="s">
        <v>366</v>
      </c>
      <c r="BG834" s="6">
        <v>18.5</v>
      </c>
      <c r="BH834" s="6">
        <v>32</v>
      </c>
      <c r="BQ834" s="6" t="s">
        <v>213</v>
      </c>
      <c r="BR834" s="5" t="s">
        <v>2397</v>
      </c>
    </row>
    <row r="835" spans="1:70" x14ac:dyDescent="0.2">
      <c r="A835" s="257">
        <v>1099</v>
      </c>
      <c r="B835" s="229" t="s">
        <v>2385</v>
      </c>
      <c r="C835" s="259" t="s">
        <v>2386</v>
      </c>
      <c r="D835" s="229" t="s">
        <v>2398</v>
      </c>
      <c r="E835" s="3" t="s">
        <v>101</v>
      </c>
      <c r="F835" s="26" t="s">
        <v>102</v>
      </c>
      <c r="G835" s="26" t="s">
        <v>55</v>
      </c>
      <c r="H835" s="26" t="s">
        <v>2388</v>
      </c>
      <c r="I835" s="26" t="s">
        <v>2389</v>
      </c>
      <c r="J835" s="22">
        <v>10</v>
      </c>
      <c r="L835" s="28" t="s">
        <v>448</v>
      </c>
      <c r="M835" s="22" t="s">
        <v>58</v>
      </c>
      <c r="N835" s="22">
        <v>72</v>
      </c>
      <c r="O835" s="22" t="s">
        <v>59</v>
      </c>
      <c r="P835" s="22" t="s">
        <v>78</v>
      </c>
      <c r="Q835" s="23" t="s">
        <v>2390</v>
      </c>
      <c r="R835" s="23" t="s">
        <v>2391</v>
      </c>
      <c r="T835" s="23" t="s">
        <v>2392</v>
      </c>
      <c r="U835" s="23" t="s">
        <v>2393</v>
      </c>
      <c r="Z835" s="83" t="s">
        <v>62</v>
      </c>
      <c r="AA835" s="6">
        <v>8</v>
      </c>
      <c r="AD835" s="5" t="s">
        <v>79</v>
      </c>
      <c r="AI835" s="5">
        <v>19</v>
      </c>
      <c r="AJ835" s="5">
        <v>55</v>
      </c>
      <c r="BB835" s="6" t="s">
        <v>366</v>
      </c>
      <c r="BG835" s="6">
        <v>18.5</v>
      </c>
      <c r="BH835" s="6">
        <v>32</v>
      </c>
      <c r="BQ835" s="6" t="s">
        <v>213</v>
      </c>
      <c r="BR835" s="5" t="s">
        <v>2394</v>
      </c>
    </row>
    <row r="836" spans="1:70" x14ac:dyDescent="0.2">
      <c r="A836" s="254">
        <v>1102</v>
      </c>
      <c r="B836" s="229" t="s">
        <v>2172</v>
      </c>
      <c r="C836" s="259" t="s">
        <v>1974</v>
      </c>
      <c r="D836" s="229" t="s">
        <v>2814</v>
      </c>
      <c r="E836" s="3" t="s">
        <v>1958</v>
      </c>
      <c r="F836" s="26" t="s">
        <v>102</v>
      </c>
      <c r="G836" s="26" t="s">
        <v>55</v>
      </c>
      <c r="H836" s="26" t="s">
        <v>2399</v>
      </c>
      <c r="J836" s="22">
        <v>0.125</v>
      </c>
      <c r="L836" s="28" t="s">
        <v>57</v>
      </c>
      <c r="M836" s="22" t="s">
        <v>58</v>
      </c>
      <c r="N836" s="22">
        <v>25</v>
      </c>
      <c r="O836" s="22" t="s">
        <v>59</v>
      </c>
      <c r="P836" s="22" t="s">
        <v>78</v>
      </c>
      <c r="R836" s="23" t="s">
        <v>2400</v>
      </c>
      <c r="U836" s="23" t="s">
        <v>1976</v>
      </c>
      <c r="V836" s="25" t="s">
        <v>642</v>
      </c>
      <c r="W836" s="65" t="s">
        <v>2401</v>
      </c>
      <c r="X836" s="106" t="s">
        <v>2403</v>
      </c>
      <c r="Z836" s="83" t="s">
        <v>62</v>
      </c>
      <c r="AA836" s="6">
        <v>12</v>
      </c>
      <c r="AB836" s="6">
        <v>6</v>
      </c>
      <c r="AD836" s="5" t="s">
        <v>79</v>
      </c>
      <c r="AI836" s="5">
        <v>21</v>
      </c>
      <c r="AJ836" s="5">
        <v>39</v>
      </c>
      <c r="BQ836" s="6" t="s">
        <v>213</v>
      </c>
      <c r="BR836" s="5" t="s">
        <v>2402</v>
      </c>
    </row>
    <row r="837" spans="1:70" x14ac:dyDescent="0.2">
      <c r="A837" s="254">
        <v>1103</v>
      </c>
      <c r="B837" s="229" t="s">
        <v>2404</v>
      </c>
      <c r="C837" s="259" t="s">
        <v>2405</v>
      </c>
      <c r="D837" s="229" t="s">
        <v>2093</v>
      </c>
      <c r="E837" s="3" t="s">
        <v>2037</v>
      </c>
      <c r="F837" s="26" t="s">
        <v>102</v>
      </c>
      <c r="G837" s="26" t="s">
        <v>55</v>
      </c>
      <c r="H837" s="26" t="s">
        <v>56</v>
      </c>
      <c r="J837" s="22">
        <v>1</v>
      </c>
      <c r="L837" s="28" t="s">
        <v>57</v>
      </c>
      <c r="M837" s="22" t="s">
        <v>58</v>
      </c>
      <c r="N837" s="22" t="s">
        <v>2406</v>
      </c>
      <c r="O837" s="22" t="s">
        <v>59</v>
      </c>
      <c r="P837" s="22" t="s">
        <v>2815</v>
      </c>
      <c r="R837" s="23" t="s">
        <v>2816</v>
      </c>
      <c r="V837" s="25" t="s">
        <v>642</v>
      </c>
      <c r="Y837" s="25" t="s">
        <v>2408</v>
      </c>
      <c r="Z837" s="83" t="s">
        <v>62</v>
      </c>
      <c r="AA837" s="6">
        <v>20</v>
      </c>
      <c r="AB837" s="6">
        <v>0</v>
      </c>
      <c r="AD837" s="5" t="s">
        <v>79</v>
      </c>
      <c r="AI837" s="5">
        <v>20</v>
      </c>
      <c r="AJ837" s="5">
        <v>44</v>
      </c>
      <c r="AL837" s="6" t="s">
        <v>80</v>
      </c>
      <c r="AQ837" s="6">
        <v>59</v>
      </c>
      <c r="AR837" s="6">
        <v>100</v>
      </c>
      <c r="BQ837" s="6" t="s">
        <v>213</v>
      </c>
      <c r="BR837" s="5" t="s">
        <v>2817</v>
      </c>
    </row>
    <row r="838" spans="1:70" x14ac:dyDescent="0.2">
      <c r="A838" s="254">
        <v>1104</v>
      </c>
      <c r="B838" s="229" t="s">
        <v>2404</v>
      </c>
      <c r="C838" s="259" t="s">
        <v>2405</v>
      </c>
      <c r="D838" s="229" t="s">
        <v>2409</v>
      </c>
      <c r="E838" s="3" t="s">
        <v>2037</v>
      </c>
      <c r="F838" s="26" t="s">
        <v>102</v>
      </c>
      <c r="G838" s="26" t="s">
        <v>55</v>
      </c>
      <c r="H838" s="26" t="s">
        <v>56</v>
      </c>
      <c r="J838" s="22">
        <v>1</v>
      </c>
      <c r="L838" s="28" t="s">
        <v>57</v>
      </c>
      <c r="M838" s="22" t="s">
        <v>58</v>
      </c>
      <c r="N838" s="22" t="s">
        <v>2410</v>
      </c>
      <c r="O838" s="22" t="s">
        <v>59</v>
      </c>
      <c r="P838" s="22" t="s">
        <v>2815</v>
      </c>
      <c r="R838" s="23" t="s">
        <v>2816</v>
      </c>
      <c r="V838" s="25" t="s">
        <v>642</v>
      </c>
      <c r="Y838" s="25" t="s">
        <v>2408</v>
      </c>
      <c r="Z838" s="83" t="s">
        <v>62</v>
      </c>
      <c r="AA838" s="6">
        <v>20</v>
      </c>
      <c r="AB838" s="6">
        <v>0</v>
      </c>
      <c r="AD838" s="5" t="s">
        <v>79</v>
      </c>
      <c r="AI838" s="5">
        <v>20</v>
      </c>
      <c r="AJ838" s="5">
        <v>44</v>
      </c>
      <c r="AL838" s="6" t="s">
        <v>80</v>
      </c>
      <c r="AQ838" s="6">
        <v>59</v>
      </c>
      <c r="AR838" s="6">
        <v>100</v>
      </c>
      <c r="BQ838" s="6" t="s">
        <v>213</v>
      </c>
      <c r="BR838" s="5" t="s">
        <v>2817</v>
      </c>
    </row>
    <row r="839" spans="1:70" x14ac:dyDescent="0.2">
      <c r="A839" s="254">
        <v>1105</v>
      </c>
      <c r="B839" s="229" t="s">
        <v>2404</v>
      </c>
      <c r="C839" s="259" t="s">
        <v>2405</v>
      </c>
      <c r="D839" s="229" t="s">
        <v>2411</v>
      </c>
      <c r="E839" s="3" t="s">
        <v>1091</v>
      </c>
      <c r="F839" s="26" t="s">
        <v>102</v>
      </c>
      <c r="G839" s="26" t="s">
        <v>55</v>
      </c>
      <c r="H839" s="26" t="s">
        <v>156</v>
      </c>
      <c r="J839" s="22" t="s">
        <v>2818</v>
      </c>
      <c r="L839" s="28" t="s">
        <v>57</v>
      </c>
      <c r="M839" s="22" t="s">
        <v>58</v>
      </c>
      <c r="N839" s="22" t="s">
        <v>2622</v>
      </c>
      <c r="O839" s="22" t="s">
        <v>59</v>
      </c>
      <c r="P839" s="22" t="s">
        <v>2412</v>
      </c>
      <c r="Q839" s="23" t="s">
        <v>2413</v>
      </c>
      <c r="R839" s="23" t="s">
        <v>2414</v>
      </c>
      <c r="V839" s="25" t="s">
        <v>642</v>
      </c>
      <c r="Y839" s="25" t="s">
        <v>2408</v>
      </c>
      <c r="Z839" s="83" t="s">
        <v>62</v>
      </c>
      <c r="AA839" s="6">
        <v>20</v>
      </c>
      <c r="AB839" s="6">
        <v>0</v>
      </c>
      <c r="AD839" s="5" t="s">
        <v>79</v>
      </c>
      <c r="AI839" s="5">
        <v>20</v>
      </c>
      <c r="AJ839" s="5">
        <v>44</v>
      </c>
      <c r="AL839" s="6" t="s">
        <v>80</v>
      </c>
      <c r="AQ839" s="6">
        <v>59</v>
      </c>
      <c r="AR839" s="6">
        <v>100</v>
      </c>
      <c r="BQ839" s="6" t="s">
        <v>213</v>
      </c>
      <c r="BR839" s="5" t="s">
        <v>2817</v>
      </c>
    </row>
    <row r="840" spans="1:70" x14ac:dyDescent="0.2">
      <c r="A840" s="254">
        <v>1106</v>
      </c>
      <c r="B840" s="229" t="s">
        <v>2404</v>
      </c>
      <c r="C840" s="259" t="s">
        <v>2405</v>
      </c>
      <c r="D840" s="229" t="s">
        <v>2415</v>
      </c>
      <c r="E840" s="3" t="s">
        <v>1091</v>
      </c>
      <c r="F840" s="26" t="s">
        <v>102</v>
      </c>
      <c r="G840" s="26" t="s">
        <v>55</v>
      </c>
      <c r="H840" s="26" t="s">
        <v>156</v>
      </c>
      <c r="J840" s="22" t="s">
        <v>2818</v>
      </c>
      <c r="L840" s="28" t="s">
        <v>57</v>
      </c>
      <c r="M840" s="22" t="s">
        <v>58</v>
      </c>
      <c r="N840" s="22" t="s">
        <v>2622</v>
      </c>
      <c r="O840" s="22" t="s">
        <v>59</v>
      </c>
      <c r="P840" s="22" t="s">
        <v>2412</v>
      </c>
      <c r="Q840" s="23" t="s">
        <v>2413</v>
      </c>
      <c r="R840" s="23" t="s">
        <v>2414</v>
      </c>
      <c r="V840" s="25" t="s">
        <v>642</v>
      </c>
      <c r="Y840" s="25" t="s">
        <v>2408</v>
      </c>
      <c r="Z840" s="83" t="s">
        <v>62</v>
      </c>
      <c r="AA840" s="6">
        <v>20</v>
      </c>
      <c r="AB840" s="6">
        <v>0</v>
      </c>
      <c r="AD840" s="5" t="s">
        <v>79</v>
      </c>
      <c r="AI840" s="5">
        <v>20</v>
      </c>
      <c r="AJ840" s="5">
        <v>44</v>
      </c>
      <c r="AL840" s="6" t="s">
        <v>80</v>
      </c>
      <c r="AQ840" s="6">
        <v>59</v>
      </c>
      <c r="AR840" s="6">
        <v>100</v>
      </c>
      <c r="BQ840" s="6" t="s">
        <v>213</v>
      </c>
      <c r="BR840" s="5" t="s">
        <v>2817</v>
      </c>
    </row>
    <row r="841" spans="1:70" x14ac:dyDescent="0.2">
      <c r="A841" s="257">
        <v>1107</v>
      </c>
      <c r="B841" s="229" t="s">
        <v>2416</v>
      </c>
      <c r="C841" s="259" t="s">
        <v>2417</v>
      </c>
      <c r="D841" s="229" t="s">
        <v>2418</v>
      </c>
      <c r="E841" s="3" t="s">
        <v>101</v>
      </c>
      <c r="F841" s="26" t="s">
        <v>102</v>
      </c>
      <c r="G841" s="26" t="s">
        <v>55</v>
      </c>
      <c r="H841" s="26" t="s">
        <v>2419</v>
      </c>
      <c r="J841" s="22">
        <v>15</v>
      </c>
      <c r="L841" s="28" t="s">
        <v>57</v>
      </c>
      <c r="M841" s="22" t="s">
        <v>58</v>
      </c>
      <c r="N841" s="22">
        <v>0</v>
      </c>
      <c r="O841" s="22" t="s">
        <v>59</v>
      </c>
      <c r="P841" s="22" t="s">
        <v>78</v>
      </c>
      <c r="Q841" s="23" t="s">
        <v>2420</v>
      </c>
      <c r="R841" s="23" t="s">
        <v>2421</v>
      </c>
      <c r="T841" s="23">
        <v>150</v>
      </c>
      <c r="V841" s="25" t="s">
        <v>613</v>
      </c>
      <c r="W841" s="65">
        <v>3</v>
      </c>
      <c r="X841" s="106" t="s">
        <v>202</v>
      </c>
      <c r="Y841" s="25" t="s">
        <v>2422</v>
      </c>
      <c r="Z841" s="83" t="s">
        <v>62</v>
      </c>
      <c r="AA841" s="6">
        <v>9</v>
      </c>
      <c r="AB841" s="6">
        <v>9</v>
      </c>
      <c r="AD841" s="5" t="s">
        <v>79</v>
      </c>
      <c r="AI841" s="5">
        <v>19</v>
      </c>
      <c r="AJ841" s="5">
        <v>28</v>
      </c>
      <c r="AL841" s="6" t="s">
        <v>80</v>
      </c>
      <c r="AQ841" s="6">
        <v>55</v>
      </c>
      <c r="AR841" s="6">
        <v>80</v>
      </c>
      <c r="BQ841" s="6" t="s">
        <v>353</v>
      </c>
      <c r="BR841" s="5" t="s">
        <v>2423</v>
      </c>
    </row>
    <row r="842" spans="1:70" x14ac:dyDescent="0.2">
      <c r="A842" s="257">
        <v>1108</v>
      </c>
      <c r="B842" s="229" t="s">
        <v>2416</v>
      </c>
      <c r="C842" s="259" t="s">
        <v>2417</v>
      </c>
      <c r="D842" s="229" t="s">
        <v>2424</v>
      </c>
      <c r="E842" s="3" t="s">
        <v>101</v>
      </c>
      <c r="F842" s="26" t="s">
        <v>102</v>
      </c>
      <c r="G842" s="26" t="s">
        <v>55</v>
      </c>
      <c r="H842" s="26" t="s">
        <v>2419</v>
      </c>
      <c r="J842" s="22">
        <v>15</v>
      </c>
      <c r="L842" s="28" t="s">
        <v>57</v>
      </c>
      <c r="M842" s="22" t="s">
        <v>58</v>
      </c>
      <c r="N842" s="22">
        <v>25</v>
      </c>
      <c r="O842" s="22" t="s">
        <v>59</v>
      </c>
      <c r="P842" s="22" t="s">
        <v>78</v>
      </c>
      <c r="Q842" s="23" t="s">
        <v>2420</v>
      </c>
      <c r="R842" s="23" t="s">
        <v>2425</v>
      </c>
      <c r="T842" s="23">
        <v>150</v>
      </c>
      <c r="V842" s="25" t="s">
        <v>613</v>
      </c>
      <c r="W842" s="65">
        <v>3</v>
      </c>
      <c r="X842" s="106" t="s">
        <v>202</v>
      </c>
      <c r="Y842" s="25" t="s">
        <v>2422</v>
      </c>
      <c r="Z842" s="83" t="s">
        <v>62</v>
      </c>
      <c r="AA842" s="6">
        <v>9</v>
      </c>
      <c r="AB842" s="6">
        <v>9</v>
      </c>
      <c r="AD842" s="5" t="s">
        <v>79</v>
      </c>
      <c r="AI842" s="5">
        <v>19</v>
      </c>
      <c r="AJ842" s="5">
        <v>28</v>
      </c>
      <c r="AL842" s="6" t="s">
        <v>80</v>
      </c>
      <c r="AQ842" s="6">
        <v>55</v>
      </c>
      <c r="AR842" s="6">
        <v>80</v>
      </c>
      <c r="BQ842" s="6" t="s">
        <v>353</v>
      </c>
      <c r="BR842" s="5" t="s">
        <v>2423</v>
      </c>
    </row>
    <row r="843" spans="1:70" x14ac:dyDescent="0.2">
      <c r="A843" s="257">
        <v>1109</v>
      </c>
      <c r="B843" s="229" t="s">
        <v>2416</v>
      </c>
      <c r="C843" s="259" t="s">
        <v>2417</v>
      </c>
      <c r="D843" s="229" t="s">
        <v>382</v>
      </c>
      <c r="E843" s="3" t="s">
        <v>382</v>
      </c>
      <c r="F843" s="26" t="s">
        <v>102</v>
      </c>
      <c r="G843" s="26" t="s">
        <v>55</v>
      </c>
      <c r="H843" s="26" t="s">
        <v>56</v>
      </c>
      <c r="J843" s="22">
        <v>80</v>
      </c>
      <c r="L843" s="28" t="s">
        <v>57</v>
      </c>
      <c r="M843" s="22" t="s">
        <v>58</v>
      </c>
      <c r="N843" s="22" t="s">
        <v>2426</v>
      </c>
      <c r="O843" s="22" t="s">
        <v>59</v>
      </c>
      <c r="P843" s="22" t="s">
        <v>91</v>
      </c>
      <c r="Q843" s="23" t="s">
        <v>2427</v>
      </c>
      <c r="R843" s="23" t="s">
        <v>2428</v>
      </c>
      <c r="Z843" s="83" t="s">
        <v>62</v>
      </c>
      <c r="AA843" s="6">
        <v>9</v>
      </c>
      <c r="AB843" s="6">
        <v>9</v>
      </c>
      <c r="AD843" s="5" t="s">
        <v>79</v>
      </c>
      <c r="AI843" s="5">
        <v>19</v>
      </c>
      <c r="AJ843" s="5">
        <v>28</v>
      </c>
      <c r="AL843" s="6" t="s">
        <v>80</v>
      </c>
      <c r="AQ843" s="6">
        <v>55</v>
      </c>
      <c r="AR843" s="6">
        <v>80</v>
      </c>
      <c r="BQ843" s="6" t="s">
        <v>353</v>
      </c>
      <c r="BR843" s="5" t="s">
        <v>2423</v>
      </c>
    </row>
    <row r="844" spans="1:70" x14ac:dyDescent="0.2">
      <c r="A844" s="257">
        <v>1110</v>
      </c>
      <c r="B844" s="229" t="s">
        <v>2429</v>
      </c>
      <c r="C844" s="259" t="s">
        <v>2430</v>
      </c>
      <c r="D844" s="229" t="s">
        <v>2431</v>
      </c>
      <c r="E844" s="3" t="s">
        <v>101</v>
      </c>
      <c r="F844" s="26" t="s">
        <v>102</v>
      </c>
      <c r="H844" s="26" t="s">
        <v>1951</v>
      </c>
      <c r="J844" s="22">
        <v>0.05</v>
      </c>
      <c r="L844" s="28" t="s">
        <v>106</v>
      </c>
      <c r="M844" s="22" t="s">
        <v>77</v>
      </c>
      <c r="N844" s="22">
        <v>0</v>
      </c>
      <c r="O844" s="22" t="s">
        <v>59</v>
      </c>
      <c r="P844" s="22" t="s">
        <v>78</v>
      </c>
      <c r="S844" s="24">
        <v>30</v>
      </c>
      <c r="Z844" s="83" t="s">
        <v>62</v>
      </c>
      <c r="AA844" s="6">
        <v>18</v>
      </c>
    </row>
    <row r="845" spans="1:70" x14ac:dyDescent="0.2">
      <c r="A845" s="257">
        <v>1111</v>
      </c>
      <c r="B845" s="229" t="s">
        <v>2429</v>
      </c>
      <c r="C845" s="259" t="s">
        <v>2430</v>
      </c>
      <c r="D845" s="229" t="s">
        <v>2432</v>
      </c>
      <c r="E845" s="3" t="s">
        <v>101</v>
      </c>
      <c r="F845" s="26" t="s">
        <v>102</v>
      </c>
      <c r="H845" s="26" t="s">
        <v>1951</v>
      </c>
      <c r="J845" s="22">
        <v>0.05</v>
      </c>
      <c r="L845" s="28" t="s">
        <v>106</v>
      </c>
      <c r="M845" s="22" t="s">
        <v>77</v>
      </c>
      <c r="N845" s="22">
        <v>144</v>
      </c>
      <c r="O845" s="22" t="s">
        <v>59</v>
      </c>
      <c r="P845" s="22" t="s">
        <v>78</v>
      </c>
      <c r="S845" s="24">
        <v>30</v>
      </c>
      <c r="Z845" s="83" t="s">
        <v>62</v>
      </c>
      <c r="AA845" s="6">
        <v>18</v>
      </c>
    </row>
    <row r="846" spans="1:70" x14ac:dyDescent="0.2">
      <c r="A846" s="91">
        <v>1112</v>
      </c>
      <c r="B846" s="229" t="s">
        <v>2433</v>
      </c>
      <c r="C846" s="259" t="s">
        <v>2434</v>
      </c>
      <c r="D846" s="229" t="s">
        <v>2435</v>
      </c>
    </row>
    <row r="847" spans="1:70" x14ac:dyDescent="0.2">
      <c r="A847" s="91">
        <v>1113</v>
      </c>
      <c r="B847" s="229" t="s">
        <v>2404</v>
      </c>
      <c r="C847" s="259" t="s">
        <v>2405</v>
      </c>
      <c r="D847" s="229" t="s">
        <v>2823</v>
      </c>
      <c r="E847" s="3" t="s">
        <v>2037</v>
      </c>
      <c r="F847" s="26" t="s">
        <v>102</v>
      </c>
      <c r="G847" s="26" t="s">
        <v>55</v>
      </c>
      <c r="H847" s="26" t="s">
        <v>56</v>
      </c>
      <c r="J847" s="22">
        <v>1</v>
      </c>
      <c r="L847" s="28" t="s">
        <v>57</v>
      </c>
      <c r="M847" s="22" t="s">
        <v>58</v>
      </c>
      <c r="N847" s="22" t="s">
        <v>2410</v>
      </c>
      <c r="O847" s="22" t="s">
        <v>59</v>
      </c>
      <c r="P847" s="22" t="s">
        <v>2815</v>
      </c>
      <c r="R847" s="23" t="s">
        <v>2816</v>
      </c>
      <c r="V847" s="25" t="s">
        <v>642</v>
      </c>
      <c r="Y847" s="25" t="s">
        <v>2408</v>
      </c>
      <c r="Z847" s="83" t="s">
        <v>62</v>
      </c>
      <c r="AA847" s="6">
        <v>20</v>
      </c>
      <c r="AB847" s="6">
        <v>0</v>
      </c>
      <c r="AD847" s="5" t="s">
        <v>79</v>
      </c>
      <c r="AI847" s="5">
        <v>20</v>
      </c>
      <c r="AJ847" s="5">
        <v>44</v>
      </c>
      <c r="AL847" s="6" t="s">
        <v>80</v>
      </c>
      <c r="AQ847" s="6">
        <v>59</v>
      </c>
      <c r="AR847" s="6">
        <v>100</v>
      </c>
      <c r="BQ847" s="6" t="s">
        <v>213</v>
      </c>
      <c r="BR847" s="5" t="s">
        <v>2817</v>
      </c>
    </row>
    <row r="848" spans="1:70" x14ac:dyDescent="0.2">
      <c r="A848" s="91">
        <v>1114</v>
      </c>
      <c r="B848" s="229" t="s">
        <v>2404</v>
      </c>
      <c r="C848" s="259" t="s">
        <v>2405</v>
      </c>
      <c r="D848" s="229" t="s">
        <v>2824</v>
      </c>
      <c r="E848" s="3" t="s">
        <v>1091</v>
      </c>
      <c r="F848" s="26" t="s">
        <v>102</v>
      </c>
      <c r="G848" s="26" t="s">
        <v>55</v>
      </c>
      <c r="H848" s="26" t="s">
        <v>156</v>
      </c>
      <c r="J848" s="22" t="s">
        <v>2818</v>
      </c>
      <c r="L848" s="28" t="s">
        <v>57</v>
      </c>
      <c r="M848" s="22" t="s">
        <v>58</v>
      </c>
      <c r="N848" s="22" t="s">
        <v>2622</v>
      </c>
      <c r="O848" s="22" t="s">
        <v>59</v>
      </c>
      <c r="P848" s="22" t="s">
        <v>2412</v>
      </c>
      <c r="Q848" s="23" t="s">
        <v>2413</v>
      </c>
      <c r="R848" s="23" t="s">
        <v>2414</v>
      </c>
      <c r="V848" s="25" t="s">
        <v>642</v>
      </c>
      <c r="Y848" s="25" t="s">
        <v>2408</v>
      </c>
      <c r="Z848" s="83" t="s">
        <v>62</v>
      </c>
      <c r="AA848" s="6">
        <v>20</v>
      </c>
      <c r="AB848" s="6">
        <v>0</v>
      </c>
      <c r="AD848" s="5" t="s">
        <v>79</v>
      </c>
      <c r="AI848" s="5">
        <v>20</v>
      </c>
      <c r="AJ848" s="5">
        <v>44</v>
      </c>
      <c r="AL848" s="6" t="s">
        <v>80</v>
      </c>
      <c r="AQ848" s="6">
        <v>59</v>
      </c>
      <c r="AR848" s="6">
        <v>100</v>
      </c>
      <c r="BQ848" s="6" t="s">
        <v>213</v>
      </c>
      <c r="BR848" s="5" t="s">
        <v>2817</v>
      </c>
    </row>
    <row r="849" spans="1:70" x14ac:dyDescent="0.2">
      <c r="A849" s="257">
        <v>1115</v>
      </c>
      <c r="B849" s="229" t="s">
        <v>2429</v>
      </c>
      <c r="C849" s="259" t="s">
        <v>2430</v>
      </c>
      <c r="D849" s="229" t="s">
        <v>2431</v>
      </c>
      <c r="E849" s="3" t="s">
        <v>101</v>
      </c>
      <c r="F849" s="26" t="s">
        <v>102</v>
      </c>
      <c r="H849" s="26" t="s">
        <v>1951</v>
      </c>
      <c r="J849" s="22">
        <v>4</v>
      </c>
      <c r="L849" s="28" t="s">
        <v>57</v>
      </c>
      <c r="M849" s="22" t="s">
        <v>58</v>
      </c>
      <c r="N849" s="22">
        <v>0</v>
      </c>
      <c r="O849" s="22" t="s">
        <v>59</v>
      </c>
      <c r="P849" s="22" t="s">
        <v>78</v>
      </c>
      <c r="Z849" s="83" t="s">
        <v>62</v>
      </c>
      <c r="AA849" s="6">
        <v>18</v>
      </c>
    </row>
    <row r="850" spans="1:70" x14ac:dyDescent="0.2">
      <c r="A850" s="257">
        <v>1116</v>
      </c>
      <c r="B850" s="229" t="s">
        <v>2429</v>
      </c>
      <c r="C850" s="259" t="s">
        <v>2430</v>
      </c>
      <c r="D850" s="229" t="s">
        <v>2432</v>
      </c>
      <c r="E850" s="3" t="s">
        <v>101</v>
      </c>
      <c r="F850" s="26" t="s">
        <v>102</v>
      </c>
      <c r="H850" s="26" t="s">
        <v>1951</v>
      </c>
      <c r="J850" s="22">
        <v>4</v>
      </c>
      <c r="L850" s="28" t="s">
        <v>57</v>
      </c>
      <c r="M850" s="22" t="s">
        <v>58</v>
      </c>
      <c r="N850" s="22">
        <v>168</v>
      </c>
      <c r="O850" s="22" t="s">
        <v>59</v>
      </c>
      <c r="P850" s="22" t="s">
        <v>78</v>
      </c>
      <c r="Z850" s="83" t="s">
        <v>62</v>
      </c>
      <c r="AA850" s="6">
        <v>18</v>
      </c>
    </row>
    <row r="851" spans="1:70" x14ac:dyDescent="0.2">
      <c r="A851" s="257">
        <v>2000</v>
      </c>
      <c r="B851" s="229" t="s">
        <v>2436</v>
      </c>
      <c r="C851" s="259" t="s">
        <v>2791</v>
      </c>
      <c r="D851" s="229" t="s">
        <v>2437</v>
      </c>
      <c r="E851" s="3" t="s">
        <v>101</v>
      </c>
      <c r="F851" s="26" t="s">
        <v>102</v>
      </c>
      <c r="G851" s="26" t="s">
        <v>55</v>
      </c>
      <c r="H851" s="26" t="s">
        <v>2257</v>
      </c>
      <c r="J851" s="22">
        <v>1</v>
      </c>
      <c r="L851" s="28" t="s">
        <v>57</v>
      </c>
      <c r="M851" s="22" t="s">
        <v>58</v>
      </c>
      <c r="N851" s="22">
        <v>0</v>
      </c>
      <c r="O851" s="22" t="s">
        <v>59</v>
      </c>
      <c r="P851" s="22" t="s">
        <v>78</v>
      </c>
      <c r="Q851" s="23" t="s">
        <v>2438</v>
      </c>
      <c r="R851" s="23" t="s">
        <v>2439</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2440</v>
      </c>
      <c r="BR851" s="5" t="s">
        <v>2441</v>
      </c>
    </row>
    <row r="852" spans="1:70" x14ac:dyDescent="0.2">
      <c r="A852" s="257">
        <v>2001</v>
      </c>
      <c r="B852" s="229" t="s">
        <v>2436</v>
      </c>
      <c r="C852" s="259" t="s">
        <v>2791</v>
      </c>
      <c r="D852" s="229" t="s">
        <v>2726</v>
      </c>
      <c r="E852" s="3" t="s">
        <v>101</v>
      </c>
      <c r="F852" s="26" t="s">
        <v>102</v>
      </c>
      <c r="G852" s="26" t="s">
        <v>55</v>
      </c>
      <c r="H852" s="26" t="s">
        <v>2257</v>
      </c>
      <c r="J852" s="22">
        <v>1</v>
      </c>
      <c r="L852" s="28" t="s">
        <v>57</v>
      </c>
      <c r="M852" s="22" t="s">
        <v>58</v>
      </c>
      <c r="N852" s="22">
        <v>0</v>
      </c>
      <c r="O852" s="22" t="s">
        <v>59</v>
      </c>
      <c r="P852" s="22" t="s">
        <v>78</v>
      </c>
      <c r="Q852" s="23" t="s">
        <v>2438</v>
      </c>
      <c r="R852" s="23" t="s">
        <v>2439</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2442</v>
      </c>
      <c r="BR852" s="5" t="s">
        <v>2441</v>
      </c>
    </row>
    <row r="853" spans="1:70" x14ac:dyDescent="0.2">
      <c r="A853" s="257">
        <v>2002</v>
      </c>
      <c r="B853" s="229" t="s">
        <v>2436</v>
      </c>
      <c r="C853" s="259" t="s">
        <v>2791</v>
      </c>
      <c r="D853" s="229" t="s">
        <v>2443</v>
      </c>
      <c r="E853" s="3" t="s">
        <v>101</v>
      </c>
      <c r="F853" s="26" t="s">
        <v>102</v>
      </c>
      <c r="G853" s="26" t="s">
        <v>55</v>
      </c>
      <c r="H853" s="26" t="s">
        <v>2444</v>
      </c>
      <c r="J853" s="22">
        <v>1</v>
      </c>
      <c r="L853" s="28" t="s">
        <v>57</v>
      </c>
      <c r="M853" s="22" t="s">
        <v>58</v>
      </c>
      <c r="N853" s="22">
        <v>156</v>
      </c>
      <c r="O853" s="22" t="s">
        <v>59</v>
      </c>
      <c r="P853" s="22" t="s">
        <v>78</v>
      </c>
      <c r="Q853" s="23" t="s">
        <v>2438</v>
      </c>
      <c r="R853" s="23" t="s">
        <v>2439</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2440</v>
      </c>
      <c r="BR853" s="5" t="s">
        <v>2441</v>
      </c>
    </row>
    <row r="854" spans="1:70" x14ac:dyDescent="0.2">
      <c r="A854" s="257">
        <v>2003</v>
      </c>
      <c r="B854" s="229" t="s">
        <v>2436</v>
      </c>
      <c r="C854" s="259" t="s">
        <v>2791</v>
      </c>
      <c r="D854" s="229" t="s">
        <v>2727</v>
      </c>
      <c r="E854" s="3" t="s">
        <v>101</v>
      </c>
      <c r="F854" s="26" t="s">
        <v>102</v>
      </c>
      <c r="G854" s="26" t="s">
        <v>55</v>
      </c>
      <c r="H854" s="26" t="s">
        <v>2444</v>
      </c>
      <c r="J854" s="22">
        <v>1</v>
      </c>
      <c r="L854" s="28" t="s">
        <v>57</v>
      </c>
      <c r="M854" s="22" t="s">
        <v>58</v>
      </c>
      <c r="N854" s="22">
        <v>156</v>
      </c>
      <c r="O854" s="22" t="s">
        <v>59</v>
      </c>
      <c r="P854" s="22" t="s">
        <v>78</v>
      </c>
      <c r="Q854" s="23" t="s">
        <v>2438</v>
      </c>
      <c r="R854" s="23" t="s">
        <v>2439</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2442</v>
      </c>
      <c r="BR854" s="5" t="s">
        <v>2441</v>
      </c>
    </row>
    <row r="855" spans="1:70" x14ac:dyDescent="0.2">
      <c r="A855" s="257">
        <v>2004</v>
      </c>
      <c r="B855" s="229" t="s">
        <v>2436</v>
      </c>
      <c r="C855" s="259" t="s">
        <v>2791</v>
      </c>
      <c r="D855" s="229" t="s">
        <v>2445</v>
      </c>
      <c r="E855" s="3" t="s">
        <v>101</v>
      </c>
      <c r="F855" s="26" t="s">
        <v>102</v>
      </c>
      <c r="G855" s="26" t="s">
        <v>55</v>
      </c>
      <c r="H855" s="26" t="s">
        <v>2444</v>
      </c>
      <c r="J855" s="22">
        <v>1</v>
      </c>
      <c r="L855" s="28" t="s">
        <v>57</v>
      </c>
      <c r="M855" s="22" t="s">
        <v>58</v>
      </c>
      <c r="N855" s="22">
        <v>324</v>
      </c>
      <c r="O855" s="22" t="s">
        <v>59</v>
      </c>
      <c r="P855" s="22" t="s">
        <v>78</v>
      </c>
      <c r="Q855" s="23" t="s">
        <v>2438</v>
      </c>
      <c r="R855" s="23" t="s">
        <v>2439</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2440</v>
      </c>
      <c r="BR855" s="5" t="s">
        <v>2441</v>
      </c>
    </row>
    <row r="856" spans="1:70" x14ac:dyDescent="0.2">
      <c r="A856" s="257">
        <v>2005</v>
      </c>
      <c r="B856" s="229" t="s">
        <v>2436</v>
      </c>
      <c r="C856" s="259" t="s">
        <v>2791</v>
      </c>
      <c r="D856" s="229" t="s">
        <v>2728</v>
      </c>
      <c r="E856" s="3" t="s">
        <v>101</v>
      </c>
      <c r="F856" s="26" t="s">
        <v>102</v>
      </c>
      <c r="G856" s="26" t="s">
        <v>55</v>
      </c>
      <c r="H856" s="26" t="s">
        <v>2444</v>
      </c>
      <c r="J856" s="22">
        <v>1</v>
      </c>
      <c r="L856" s="28" t="s">
        <v>57</v>
      </c>
      <c r="M856" s="22" t="s">
        <v>58</v>
      </c>
      <c r="N856" s="22">
        <v>324</v>
      </c>
      <c r="O856" s="22" t="s">
        <v>59</v>
      </c>
      <c r="P856" s="22" t="s">
        <v>78</v>
      </c>
      <c r="Q856" s="23" t="s">
        <v>2438</v>
      </c>
      <c r="R856" s="23" t="s">
        <v>2439</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2442</v>
      </c>
      <c r="BR856" s="5" t="s">
        <v>2441</v>
      </c>
    </row>
    <row r="857" spans="1:70" x14ac:dyDescent="0.2">
      <c r="A857" s="256">
        <v>2006</v>
      </c>
      <c r="B857" s="229" t="s">
        <v>2446</v>
      </c>
      <c r="C857" s="259" t="s">
        <v>2792</v>
      </c>
      <c r="D857" s="229" t="s">
        <v>2447</v>
      </c>
      <c r="E857" s="3" t="s">
        <v>101</v>
      </c>
      <c r="F857" s="26" t="s">
        <v>102</v>
      </c>
      <c r="G857" s="26" t="s">
        <v>75</v>
      </c>
      <c r="H857" s="26" t="s">
        <v>2448</v>
      </c>
      <c r="I857" s="26" t="s">
        <v>2449</v>
      </c>
      <c r="J857" s="22">
        <v>2.5000000000000001E-2</v>
      </c>
      <c r="L857" s="28" t="s">
        <v>106</v>
      </c>
      <c r="M857" s="22" t="s">
        <v>77</v>
      </c>
      <c r="N857" s="22">
        <v>0</v>
      </c>
      <c r="O857" s="22" t="s">
        <v>59</v>
      </c>
      <c r="P857" s="22" t="s">
        <v>2450</v>
      </c>
      <c r="Q857" s="23" t="s">
        <v>619</v>
      </c>
      <c r="R857" s="23" t="s">
        <v>2451</v>
      </c>
      <c r="S857" s="24">
        <v>1</v>
      </c>
      <c r="Z857" s="83" t="s">
        <v>62</v>
      </c>
      <c r="AA857" s="6">
        <v>20</v>
      </c>
      <c r="AB857" s="6">
        <v>10</v>
      </c>
      <c r="AC857" s="5" t="s">
        <v>2452</v>
      </c>
      <c r="AD857" s="5" t="s">
        <v>79</v>
      </c>
      <c r="AE857" s="5" t="s">
        <v>334</v>
      </c>
      <c r="AF857" s="5" t="s">
        <v>2453</v>
      </c>
      <c r="AG857" s="5" t="s">
        <v>79</v>
      </c>
      <c r="AH857" s="5" t="s">
        <v>116</v>
      </c>
      <c r="AK857" s="6" t="s">
        <v>2454</v>
      </c>
      <c r="AL857" s="6" t="s">
        <v>80</v>
      </c>
      <c r="AM857" s="6" t="s">
        <v>334</v>
      </c>
      <c r="AN857" s="6" t="s">
        <v>2455</v>
      </c>
      <c r="AO857" s="6" t="s">
        <v>80</v>
      </c>
      <c r="AP857" s="6" t="s">
        <v>116</v>
      </c>
      <c r="BQ857" s="6" t="s">
        <v>2456</v>
      </c>
      <c r="BR857" s="5" t="s">
        <v>2457</v>
      </c>
    </row>
    <row r="858" spans="1:70" x14ac:dyDescent="0.2">
      <c r="A858" s="256">
        <v>2007</v>
      </c>
      <c r="B858" s="229" t="s">
        <v>2446</v>
      </c>
      <c r="C858" s="259" t="s">
        <v>2792</v>
      </c>
      <c r="D858" s="229" t="s">
        <v>2367</v>
      </c>
      <c r="E858" s="3" t="s">
        <v>101</v>
      </c>
      <c r="F858" s="26" t="s">
        <v>102</v>
      </c>
      <c r="G858" s="26" t="s">
        <v>75</v>
      </c>
      <c r="H858" s="26" t="s">
        <v>2448</v>
      </c>
      <c r="I858" s="26" t="s">
        <v>2449</v>
      </c>
      <c r="J858" s="22">
        <v>2.5000000000000001E-2</v>
      </c>
      <c r="L858" s="28" t="s">
        <v>106</v>
      </c>
      <c r="M858" s="22" t="s">
        <v>77</v>
      </c>
      <c r="N858" s="22">
        <v>339</v>
      </c>
      <c r="O858" s="22" t="s">
        <v>59</v>
      </c>
      <c r="P858" s="22" t="s">
        <v>2458</v>
      </c>
      <c r="Q858" s="23" t="s">
        <v>619</v>
      </c>
      <c r="R858" s="23" t="s">
        <v>2451</v>
      </c>
      <c r="S858" s="24">
        <v>1</v>
      </c>
      <c r="Z858" s="83" t="s">
        <v>62</v>
      </c>
      <c r="AA858" s="6">
        <v>20</v>
      </c>
      <c r="AB858" s="6">
        <v>10</v>
      </c>
      <c r="AC858" s="5" t="s">
        <v>2452</v>
      </c>
      <c r="AD858" s="5" t="s">
        <v>79</v>
      </c>
      <c r="AE858" s="5" t="s">
        <v>334</v>
      </c>
      <c r="AF858" s="5" t="s">
        <v>2453</v>
      </c>
      <c r="AG858" s="5" t="s">
        <v>79</v>
      </c>
      <c r="AH858" s="5" t="s">
        <v>116</v>
      </c>
      <c r="AK858" s="6" t="s">
        <v>2454</v>
      </c>
      <c r="AL858" s="6" t="s">
        <v>80</v>
      </c>
      <c r="AM858" s="6" t="s">
        <v>334</v>
      </c>
      <c r="AN858" s="6" t="s">
        <v>2455</v>
      </c>
      <c r="AO858" s="6" t="s">
        <v>80</v>
      </c>
      <c r="AP858" s="6" t="s">
        <v>116</v>
      </c>
      <c r="BQ858" s="6" t="s">
        <v>2456</v>
      </c>
      <c r="BR858" s="5" t="s">
        <v>2457</v>
      </c>
    </row>
    <row r="859" spans="1:70" x14ac:dyDescent="0.2">
      <c r="A859" s="254">
        <v>2008</v>
      </c>
      <c r="B859" s="229" t="s">
        <v>2459</v>
      </c>
      <c r="C859" s="259" t="s">
        <v>2825</v>
      </c>
      <c r="D859" s="229" t="s">
        <v>2460</v>
      </c>
      <c r="E859" s="3" t="s">
        <v>2037</v>
      </c>
      <c r="F859" s="26" t="s">
        <v>102</v>
      </c>
      <c r="G859" s="26" t="s">
        <v>55</v>
      </c>
      <c r="H859" s="26" t="s">
        <v>398</v>
      </c>
      <c r="J859" s="22">
        <v>1</v>
      </c>
      <c r="L859" s="28" t="s">
        <v>57</v>
      </c>
      <c r="M859" s="22" t="s">
        <v>58</v>
      </c>
      <c r="N859" s="22">
        <v>0</v>
      </c>
      <c r="O859" s="22" t="s">
        <v>59</v>
      </c>
      <c r="P859" s="22" t="s">
        <v>78</v>
      </c>
      <c r="R859" s="23" t="s">
        <v>2461</v>
      </c>
      <c r="V859" s="25" t="s">
        <v>613</v>
      </c>
      <c r="W859" s="65">
        <v>1.5</v>
      </c>
      <c r="X859" s="106" t="s">
        <v>2462</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2463</v>
      </c>
    </row>
    <row r="860" spans="1:70" x14ac:dyDescent="0.2">
      <c r="A860" s="254">
        <v>2009</v>
      </c>
      <c r="B860" s="229" t="s">
        <v>2459</v>
      </c>
      <c r="C860" s="259" t="s">
        <v>2825</v>
      </c>
      <c r="D860" s="229" t="s">
        <v>2464</v>
      </c>
      <c r="E860" s="3" t="s">
        <v>2037</v>
      </c>
      <c r="F860" s="26" t="s">
        <v>102</v>
      </c>
      <c r="G860" s="26" t="s">
        <v>55</v>
      </c>
      <c r="H860" s="26" t="s">
        <v>398</v>
      </c>
      <c r="J860" s="22">
        <v>1</v>
      </c>
      <c r="L860" s="28" t="s">
        <v>57</v>
      </c>
      <c r="M860" s="22" t="s">
        <v>58</v>
      </c>
      <c r="N860" s="22">
        <v>100</v>
      </c>
      <c r="O860" s="22" t="s">
        <v>59</v>
      </c>
      <c r="P860" s="22" t="s">
        <v>78</v>
      </c>
      <c r="R860" s="23" t="s">
        <v>2461</v>
      </c>
      <c r="V860" s="25" t="s">
        <v>613</v>
      </c>
      <c r="W860" s="65">
        <v>1.5</v>
      </c>
      <c r="X860" s="106" t="s">
        <v>2462</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2463</v>
      </c>
    </row>
    <row r="861" spans="1:70" x14ac:dyDescent="0.2">
      <c r="A861" s="254">
        <v>2010</v>
      </c>
      <c r="B861" s="229" t="s">
        <v>2459</v>
      </c>
      <c r="C861" s="259" t="s">
        <v>2825</v>
      </c>
      <c r="D861" s="229" t="s">
        <v>2465</v>
      </c>
      <c r="E861" s="3" t="s">
        <v>2037</v>
      </c>
      <c r="F861" s="26" t="s">
        <v>102</v>
      </c>
      <c r="G861" s="26" t="s">
        <v>55</v>
      </c>
      <c r="H861" s="26" t="s">
        <v>398</v>
      </c>
      <c r="J861" s="22">
        <v>1</v>
      </c>
      <c r="L861" s="28" t="s">
        <v>57</v>
      </c>
      <c r="M861" s="22" t="s">
        <v>58</v>
      </c>
      <c r="N861" s="22">
        <v>436</v>
      </c>
      <c r="O861" s="22" t="s">
        <v>59</v>
      </c>
      <c r="P861" s="22" t="s">
        <v>78</v>
      </c>
      <c r="R861" s="23" t="s">
        <v>2461</v>
      </c>
      <c r="V861" s="25" t="s">
        <v>613</v>
      </c>
      <c r="W861" s="65">
        <v>1.5</v>
      </c>
      <c r="X861" s="106" t="s">
        <v>2462</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2463</v>
      </c>
    </row>
    <row r="862" spans="1:70" x14ac:dyDescent="0.2">
      <c r="A862" s="257">
        <v>2011</v>
      </c>
      <c r="B862" s="229" t="s">
        <v>2466</v>
      </c>
      <c r="C862" s="259" t="s">
        <v>2793</v>
      </c>
      <c r="D862" s="229" t="s">
        <v>2467</v>
      </c>
      <c r="E862" s="3" t="s">
        <v>101</v>
      </c>
      <c r="F862" s="26" t="s">
        <v>102</v>
      </c>
      <c r="G862" s="26" t="s">
        <v>55</v>
      </c>
      <c r="H862" s="26" t="s">
        <v>2468</v>
      </c>
      <c r="I862" s="26" t="s">
        <v>2469</v>
      </c>
      <c r="J862" s="22">
        <v>2.5000000000000001E-2</v>
      </c>
      <c r="L862" s="28" t="s">
        <v>106</v>
      </c>
      <c r="M862" s="22" t="s">
        <v>77</v>
      </c>
      <c r="N862" s="22">
        <v>0</v>
      </c>
      <c r="O862" s="22" t="s">
        <v>59</v>
      </c>
      <c r="P862" s="22" t="s">
        <v>2470</v>
      </c>
      <c r="Q862" s="23" t="s">
        <v>619</v>
      </c>
      <c r="R862" s="23" t="s">
        <v>2471</v>
      </c>
      <c r="S862" s="24">
        <v>1</v>
      </c>
      <c r="Z862" s="83" t="s">
        <v>62</v>
      </c>
      <c r="AA862" s="164">
        <v>20</v>
      </c>
      <c r="AB862" s="164">
        <v>10</v>
      </c>
      <c r="BQ862" s="6" t="s">
        <v>2472</v>
      </c>
      <c r="BR862" s="5" t="s">
        <v>2473</v>
      </c>
    </row>
    <row r="863" spans="1:70" x14ac:dyDescent="0.2">
      <c r="A863" s="257">
        <v>2012</v>
      </c>
      <c r="B863" s="229" t="s">
        <v>2466</v>
      </c>
      <c r="C863" s="259" t="s">
        <v>2793</v>
      </c>
      <c r="D863" s="229" t="s">
        <v>2474</v>
      </c>
      <c r="E863" s="3" t="s">
        <v>101</v>
      </c>
      <c r="F863" s="26" t="s">
        <v>102</v>
      </c>
      <c r="G863" s="26" t="s">
        <v>55</v>
      </c>
      <c r="H863" s="26" t="s">
        <v>2468</v>
      </c>
      <c r="I863" s="26" t="s">
        <v>2469</v>
      </c>
      <c r="J863" s="22">
        <v>2.5000000000000001E-2</v>
      </c>
      <c r="L863" s="28" t="s">
        <v>106</v>
      </c>
      <c r="M863" s="22" t="s">
        <v>77</v>
      </c>
      <c r="N863" s="22">
        <v>336</v>
      </c>
      <c r="O863" s="22" t="s">
        <v>59</v>
      </c>
      <c r="P863" s="22" t="s">
        <v>2475</v>
      </c>
      <c r="Q863" s="23" t="s">
        <v>619</v>
      </c>
      <c r="R863" s="23" t="s">
        <v>2471</v>
      </c>
      <c r="S863" s="24">
        <v>1</v>
      </c>
      <c r="Z863" s="83" t="s">
        <v>62</v>
      </c>
      <c r="AA863" s="6">
        <v>20</v>
      </c>
      <c r="AB863" s="6">
        <v>10</v>
      </c>
      <c r="BQ863" s="6" t="s">
        <v>2472</v>
      </c>
      <c r="BR863" s="5" t="s">
        <v>2473</v>
      </c>
    </row>
    <row r="864" spans="1:70" x14ac:dyDescent="0.2">
      <c r="A864" s="257">
        <v>2013</v>
      </c>
      <c r="B864" s="229" t="s">
        <v>2466</v>
      </c>
      <c r="C864" s="259" t="s">
        <v>2793</v>
      </c>
      <c r="D864" s="229" t="s">
        <v>2476</v>
      </c>
      <c r="E864" s="3" t="s">
        <v>101</v>
      </c>
      <c r="F864" s="26" t="s">
        <v>102</v>
      </c>
      <c r="G864" s="26" t="s">
        <v>55</v>
      </c>
      <c r="H864" s="26" t="s">
        <v>2468</v>
      </c>
      <c r="I864" s="179" t="s">
        <v>2469</v>
      </c>
      <c r="J864" s="22">
        <v>2.5000000000000001E-2</v>
      </c>
      <c r="L864" s="28" t="s">
        <v>106</v>
      </c>
      <c r="M864" s="22" t="s">
        <v>77</v>
      </c>
      <c r="N864" s="22">
        <v>0</v>
      </c>
      <c r="O864" s="22" t="s">
        <v>59</v>
      </c>
      <c r="P864" s="22" t="s">
        <v>2470</v>
      </c>
      <c r="Q864" s="23" t="s">
        <v>619</v>
      </c>
      <c r="R864" s="23" t="s">
        <v>2471</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2472</v>
      </c>
      <c r="BR864" s="5" t="s">
        <v>2473</v>
      </c>
    </row>
    <row r="865" spans="1:70" x14ac:dyDescent="0.2">
      <c r="A865" s="257">
        <v>2014</v>
      </c>
      <c r="B865" s="229" t="s">
        <v>2466</v>
      </c>
      <c r="C865" s="259" t="s">
        <v>2793</v>
      </c>
      <c r="D865" s="229" t="s">
        <v>2477</v>
      </c>
      <c r="E865" s="3" t="s">
        <v>101</v>
      </c>
      <c r="F865" s="26" t="s">
        <v>102</v>
      </c>
      <c r="G865" s="26" t="s">
        <v>55</v>
      </c>
      <c r="H865" s="26" t="s">
        <v>2468</v>
      </c>
      <c r="I865" s="179" t="s">
        <v>2469</v>
      </c>
      <c r="J865" s="22">
        <v>2.5000000000000001E-2</v>
      </c>
      <c r="L865" s="28" t="s">
        <v>106</v>
      </c>
      <c r="M865" s="22" t="s">
        <v>77</v>
      </c>
      <c r="N865" s="22">
        <v>336</v>
      </c>
      <c r="O865" s="22" t="s">
        <v>59</v>
      </c>
      <c r="P865" s="22" t="s">
        <v>2475</v>
      </c>
      <c r="Q865" s="23" t="s">
        <v>619</v>
      </c>
      <c r="R865" s="23" t="s">
        <v>2471</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2472</v>
      </c>
      <c r="BR865" s="5" t="s">
        <v>2473</v>
      </c>
    </row>
    <row r="866" spans="1:70" x14ac:dyDescent="0.2">
      <c r="A866" s="257">
        <v>2015</v>
      </c>
      <c r="B866" s="229" t="s">
        <v>2466</v>
      </c>
      <c r="C866" s="259" t="s">
        <v>2793</v>
      </c>
      <c r="D866" s="229" t="s">
        <v>2478</v>
      </c>
      <c r="E866" s="3" t="s">
        <v>101</v>
      </c>
      <c r="F866" s="26" t="s">
        <v>102</v>
      </c>
      <c r="G866" s="26" t="s">
        <v>55</v>
      </c>
      <c r="H866" s="26" t="s">
        <v>2468</v>
      </c>
      <c r="I866" s="26" t="s">
        <v>2469</v>
      </c>
      <c r="J866" s="22">
        <v>2.5000000000000001E-2</v>
      </c>
      <c r="L866" s="28" t="s">
        <v>106</v>
      </c>
      <c r="M866" s="22" t="s">
        <v>77</v>
      </c>
      <c r="N866" s="22">
        <v>0</v>
      </c>
      <c r="O866" s="22" t="s">
        <v>59</v>
      </c>
      <c r="P866" s="22" t="s">
        <v>2470</v>
      </c>
      <c r="Q866" s="23" t="s">
        <v>619</v>
      </c>
      <c r="R866" s="23" t="s">
        <v>2471</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2472</v>
      </c>
      <c r="BR866" s="5" t="s">
        <v>2479</v>
      </c>
    </row>
    <row r="867" spans="1:70" x14ac:dyDescent="0.2">
      <c r="A867" s="257">
        <v>2016</v>
      </c>
      <c r="B867" s="229" t="s">
        <v>2466</v>
      </c>
      <c r="C867" s="259" t="s">
        <v>2793</v>
      </c>
      <c r="D867" s="229" t="s">
        <v>2480</v>
      </c>
      <c r="E867" s="3" t="s">
        <v>101</v>
      </c>
      <c r="F867" s="26" t="s">
        <v>102</v>
      </c>
      <c r="G867" s="26" t="s">
        <v>55</v>
      </c>
      <c r="H867" s="26" t="s">
        <v>2468</v>
      </c>
      <c r="I867" s="26" t="s">
        <v>2469</v>
      </c>
      <c r="J867" s="22">
        <v>2.5000000000000001E-2</v>
      </c>
      <c r="L867" s="28" t="s">
        <v>106</v>
      </c>
      <c r="M867" s="22" t="s">
        <v>77</v>
      </c>
      <c r="N867" s="22">
        <v>336</v>
      </c>
      <c r="O867" s="22" t="s">
        <v>59</v>
      </c>
      <c r="P867" s="22" t="s">
        <v>2475</v>
      </c>
      <c r="Q867" s="23" t="s">
        <v>619</v>
      </c>
      <c r="R867" s="23" t="s">
        <v>2471</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2472</v>
      </c>
      <c r="BR867" s="5" t="s">
        <v>2479</v>
      </c>
    </row>
    <row r="868" spans="1:70" ht="14.25" x14ac:dyDescent="0.2">
      <c r="A868" s="252">
        <v>2017</v>
      </c>
      <c r="B868" s="229" t="s">
        <v>2481</v>
      </c>
      <c r="C868" s="263" t="s">
        <v>2722</v>
      </c>
      <c r="D868" s="229" t="s">
        <v>2482</v>
      </c>
      <c r="E868" s="3" t="s">
        <v>2037</v>
      </c>
      <c r="F868" s="26" t="s">
        <v>102</v>
      </c>
      <c r="G868" s="26" t="s">
        <v>55</v>
      </c>
      <c r="H868" s="26" t="s">
        <v>1951</v>
      </c>
      <c r="I868" s="26" t="s">
        <v>2483</v>
      </c>
      <c r="J868" s="22" t="s">
        <v>2484</v>
      </c>
      <c r="L868" s="28" t="s">
        <v>57</v>
      </c>
      <c r="M868" s="22" t="s">
        <v>58</v>
      </c>
      <c r="N868" s="22" t="s">
        <v>2485</v>
      </c>
      <c r="O868" s="22" t="s">
        <v>59</v>
      </c>
      <c r="P868" s="22" t="s">
        <v>2486</v>
      </c>
      <c r="Q868" s="23" t="s">
        <v>2275</v>
      </c>
      <c r="R868" s="23" t="s">
        <v>2487</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2488</v>
      </c>
    </row>
    <row r="869" spans="1:70" ht="14.25" x14ac:dyDescent="0.2">
      <c r="A869" s="252">
        <v>2018</v>
      </c>
      <c r="B869" s="229" t="s">
        <v>2481</v>
      </c>
      <c r="C869" s="263" t="s">
        <v>2722</v>
      </c>
      <c r="D869" s="229" t="s">
        <v>2489</v>
      </c>
      <c r="E869" s="3" t="s">
        <v>2037</v>
      </c>
      <c r="F869" s="26" t="s">
        <v>102</v>
      </c>
      <c r="G869" s="26" t="s">
        <v>55</v>
      </c>
      <c r="H869" s="26" t="s">
        <v>1951</v>
      </c>
      <c r="I869" s="26" t="s">
        <v>2483</v>
      </c>
      <c r="J869" s="22" t="s">
        <v>2484</v>
      </c>
      <c r="L869" s="28" t="s">
        <v>57</v>
      </c>
      <c r="M869" s="22" t="s">
        <v>58</v>
      </c>
      <c r="N869" s="22" t="s">
        <v>2485</v>
      </c>
      <c r="O869" s="22" t="s">
        <v>59</v>
      </c>
      <c r="P869" s="22" t="s">
        <v>2486</v>
      </c>
      <c r="Q869" s="23" t="s">
        <v>2275</v>
      </c>
      <c r="R869" s="23" t="s">
        <v>2487</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2488</v>
      </c>
    </row>
    <row r="870" spans="1:70" ht="14.25" x14ac:dyDescent="0.2">
      <c r="A870" s="252">
        <v>2019</v>
      </c>
      <c r="B870" s="229" t="s">
        <v>2490</v>
      </c>
      <c r="C870" s="263" t="s">
        <v>2687</v>
      </c>
      <c r="D870" s="229" t="s">
        <v>2491</v>
      </c>
      <c r="E870" s="3" t="s">
        <v>101</v>
      </c>
      <c r="F870" s="26" t="s">
        <v>682</v>
      </c>
      <c r="G870" s="26" t="s">
        <v>55</v>
      </c>
      <c r="H870" s="26" t="s">
        <v>2492</v>
      </c>
      <c r="I870" s="26" t="s">
        <v>2493</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2456</v>
      </c>
      <c r="BR870" s="5" t="s">
        <v>2494</v>
      </c>
    </row>
    <row r="871" spans="1:70" ht="14.25" x14ac:dyDescent="0.2">
      <c r="A871" s="252">
        <v>2020</v>
      </c>
      <c r="B871" s="229" t="s">
        <v>2490</v>
      </c>
      <c r="C871" s="263" t="s">
        <v>2687</v>
      </c>
      <c r="D871" s="229" t="s">
        <v>2495</v>
      </c>
      <c r="E871" s="3" t="s">
        <v>101</v>
      </c>
      <c r="F871" s="26" t="s">
        <v>682</v>
      </c>
      <c r="G871" s="26" t="s">
        <v>55</v>
      </c>
      <c r="H871" s="26" t="s">
        <v>2492</v>
      </c>
      <c r="I871" s="26" t="s">
        <v>2493</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2456</v>
      </c>
      <c r="BR871" s="5" t="s">
        <v>2494</v>
      </c>
    </row>
    <row r="872" spans="1:70" ht="14.25" x14ac:dyDescent="0.2">
      <c r="A872" s="252">
        <v>2021</v>
      </c>
      <c r="B872" s="229" t="s">
        <v>2490</v>
      </c>
      <c r="C872" s="263" t="s">
        <v>2687</v>
      </c>
      <c r="D872" s="229" t="s">
        <v>2496</v>
      </c>
      <c r="E872" s="3" t="s">
        <v>101</v>
      </c>
      <c r="F872" s="26" t="s">
        <v>682</v>
      </c>
      <c r="G872" s="26" t="s">
        <v>55</v>
      </c>
      <c r="H872" s="26" t="s">
        <v>2492</v>
      </c>
      <c r="I872" s="26" t="s">
        <v>2493</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2456</v>
      </c>
      <c r="BR872" s="5" t="s">
        <v>2494</v>
      </c>
    </row>
    <row r="873" spans="1:70" ht="14.25" x14ac:dyDescent="0.2">
      <c r="A873" s="252">
        <v>2022</v>
      </c>
      <c r="B873" s="229" t="s">
        <v>2490</v>
      </c>
      <c r="C873" s="263" t="s">
        <v>2687</v>
      </c>
      <c r="D873" s="229" t="s">
        <v>2497</v>
      </c>
      <c r="E873" s="3" t="s">
        <v>101</v>
      </c>
      <c r="F873" s="26" t="s">
        <v>682</v>
      </c>
      <c r="G873" s="26" t="s">
        <v>55</v>
      </c>
      <c r="H873" s="26" t="s">
        <v>2492</v>
      </c>
      <c r="I873" s="26" t="s">
        <v>2493</v>
      </c>
      <c r="J873" s="22" t="s">
        <v>2498</v>
      </c>
      <c r="L873" s="28" t="s">
        <v>57</v>
      </c>
      <c r="M873" s="22" t="s">
        <v>58</v>
      </c>
      <c r="N873" s="22">
        <v>0</v>
      </c>
      <c r="O873" s="22" t="s">
        <v>59</v>
      </c>
      <c r="P873" s="22" t="s">
        <v>2499</v>
      </c>
      <c r="Q873" s="23" t="s">
        <v>2500</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2456</v>
      </c>
      <c r="BR873" s="5" t="s">
        <v>2494</v>
      </c>
    </row>
    <row r="874" spans="1:70" ht="14.25" x14ac:dyDescent="0.2">
      <c r="A874" s="252">
        <v>2023</v>
      </c>
      <c r="B874" s="229" t="s">
        <v>2490</v>
      </c>
      <c r="C874" s="263" t="s">
        <v>2687</v>
      </c>
      <c r="D874" s="229" t="s">
        <v>2501</v>
      </c>
      <c r="E874" s="3" t="s">
        <v>101</v>
      </c>
      <c r="F874" s="26" t="s">
        <v>682</v>
      </c>
      <c r="G874" s="26" t="s">
        <v>55</v>
      </c>
      <c r="H874" s="26" t="s">
        <v>2492</v>
      </c>
      <c r="I874" s="26" t="s">
        <v>2493</v>
      </c>
      <c r="J874" s="22" t="s">
        <v>2498</v>
      </c>
      <c r="L874" s="28" t="s">
        <v>57</v>
      </c>
      <c r="M874" s="22" t="s">
        <v>58</v>
      </c>
      <c r="N874" s="22">
        <v>0</v>
      </c>
      <c r="O874" s="22" t="s">
        <v>59</v>
      </c>
      <c r="P874" s="22" t="s">
        <v>2499</v>
      </c>
      <c r="Q874" s="23" t="s">
        <v>2500</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2456</v>
      </c>
      <c r="BR874" s="5" t="s">
        <v>2494</v>
      </c>
    </row>
    <row r="875" spans="1:70" ht="14.25" x14ac:dyDescent="0.2">
      <c r="A875" s="252">
        <v>2024</v>
      </c>
      <c r="B875" s="229" t="s">
        <v>2490</v>
      </c>
      <c r="C875" s="263" t="s">
        <v>2687</v>
      </c>
      <c r="D875" s="229" t="s">
        <v>2502</v>
      </c>
      <c r="E875" s="3" t="s">
        <v>101</v>
      </c>
      <c r="F875" s="26" t="s">
        <v>682</v>
      </c>
      <c r="G875" s="26" t="s">
        <v>55</v>
      </c>
      <c r="H875" s="26" t="s">
        <v>2492</v>
      </c>
      <c r="I875" s="26" t="s">
        <v>2493</v>
      </c>
      <c r="J875" s="22" t="s">
        <v>2498</v>
      </c>
      <c r="L875" s="28" t="s">
        <v>57</v>
      </c>
      <c r="M875" s="22" t="s">
        <v>58</v>
      </c>
      <c r="N875" s="22">
        <v>0</v>
      </c>
      <c r="O875" s="22" t="s">
        <v>59</v>
      </c>
      <c r="P875" s="22" t="s">
        <v>2499</v>
      </c>
      <c r="Q875" s="23" t="s">
        <v>2500</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2456</v>
      </c>
      <c r="BR875" s="5" t="s">
        <v>2494</v>
      </c>
    </row>
    <row r="876" spans="1:70" ht="14.25" x14ac:dyDescent="0.2">
      <c r="A876" s="252">
        <v>2025</v>
      </c>
      <c r="B876" s="229" t="s">
        <v>2490</v>
      </c>
      <c r="C876" s="263" t="s">
        <v>2687</v>
      </c>
      <c r="D876" s="229" t="s">
        <v>2503</v>
      </c>
      <c r="E876" s="3" t="s">
        <v>101</v>
      </c>
      <c r="F876" s="26" t="s">
        <v>682</v>
      </c>
      <c r="G876" s="26" t="s">
        <v>55</v>
      </c>
      <c r="H876" s="26" t="s">
        <v>2492</v>
      </c>
      <c r="I876" s="26" t="s">
        <v>2493</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2456</v>
      </c>
      <c r="BR876" s="5" t="s">
        <v>2494</v>
      </c>
    </row>
    <row r="877" spans="1:70" ht="14.25" x14ac:dyDescent="0.2">
      <c r="A877" s="252">
        <v>2026</v>
      </c>
      <c r="B877" s="229" t="s">
        <v>2490</v>
      </c>
      <c r="C877" s="263" t="s">
        <v>2687</v>
      </c>
      <c r="D877" s="229" t="s">
        <v>2504</v>
      </c>
      <c r="E877" s="3" t="s">
        <v>101</v>
      </c>
      <c r="F877" s="26" t="s">
        <v>682</v>
      </c>
      <c r="G877" s="26" t="s">
        <v>55</v>
      </c>
      <c r="H877" s="26" t="s">
        <v>2492</v>
      </c>
      <c r="I877" s="26" t="s">
        <v>2493</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2456</v>
      </c>
      <c r="BR877" s="5" t="s">
        <v>2494</v>
      </c>
    </row>
    <row r="878" spans="1:70" ht="14.25" x14ac:dyDescent="0.2">
      <c r="A878" s="252">
        <v>2027</v>
      </c>
      <c r="B878" s="229" t="s">
        <v>2490</v>
      </c>
      <c r="C878" s="263" t="s">
        <v>2687</v>
      </c>
      <c r="D878" s="229" t="s">
        <v>2505</v>
      </c>
      <c r="E878" s="3" t="s">
        <v>101</v>
      </c>
      <c r="F878" s="26" t="s">
        <v>682</v>
      </c>
      <c r="G878" s="26" t="s">
        <v>55</v>
      </c>
      <c r="H878" s="26" t="s">
        <v>2492</v>
      </c>
      <c r="I878" s="26" t="s">
        <v>2493</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2456</v>
      </c>
      <c r="BR878" s="5" t="s">
        <v>2494</v>
      </c>
    </row>
    <row r="879" spans="1:70" ht="14.25" x14ac:dyDescent="0.2">
      <c r="A879" s="252">
        <v>2028</v>
      </c>
      <c r="B879" s="229" t="s">
        <v>2490</v>
      </c>
      <c r="C879" s="263" t="s">
        <v>2687</v>
      </c>
      <c r="D879" s="229" t="s">
        <v>2506</v>
      </c>
      <c r="E879" s="3" t="s">
        <v>101</v>
      </c>
      <c r="F879" s="26" t="s">
        <v>682</v>
      </c>
      <c r="G879" s="26" t="s">
        <v>55</v>
      </c>
      <c r="H879" s="26" t="s">
        <v>2492</v>
      </c>
      <c r="I879" s="26" t="s">
        <v>2493</v>
      </c>
      <c r="J879" s="22" t="s">
        <v>2498</v>
      </c>
      <c r="L879" s="28" t="s">
        <v>57</v>
      </c>
      <c r="M879" s="22" t="s">
        <v>58</v>
      </c>
      <c r="N879" s="22">
        <v>170</v>
      </c>
      <c r="O879" s="22" t="s">
        <v>59</v>
      </c>
      <c r="P879" s="22" t="s">
        <v>2499</v>
      </c>
      <c r="Q879" s="23" t="s">
        <v>2500</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2456</v>
      </c>
      <c r="BR879" s="5" t="s">
        <v>2494</v>
      </c>
    </row>
    <row r="880" spans="1:70" ht="14.25" x14ac:dyDescent="0.2">
      <c r="A880" s="252">
        <v>2029</v>
      </c>
      <c r="B880" s="229" t="s">
        <v>2490</v>
      </c>
      <c r="C880" s="263" t="s">
        <v>2687</v>
      </c>
      <c r="D880" s="229" t="s">
        <v>2507</v>
      </c>
      <c r="E880" s="3" t="s">
        <v>101</v>
      </c>
      <c r="F880" s="26" t="s">
        <v>682</v>
      </c>
      <c r="G880" s="26" t="s">
        <v>55</v>
      </c>
      <c r="H880" s="26" t="s">
        <v>2492</v>
      </c>
      <c r="I880" s="26" t="s">
        <v>2493</v>
      </c>
      <c r="J880" s="22" t="s">
        <v>2498</v>
      </c>
      <c r="L880" s="28" t="s">
        <v>57</v>
      </c>
      <c r="M880" s="22" t="s">
        <v>58</v>
      </c>
      <c r="N880" s="22">
        <v>170</v>
      </c>
      <c r="O880" s="22" t="s">
        <v>59</v>
      </c>
      <c r="P880" s="22" t="s">
        <v>2499</v>
      </c>
      <c r="Q880" s="23" t="s">
        <v>2500</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2456</v>
      </c>
      <c r="BR880" s="5" t="s">
        <v>2494</v>
      </c>
    </row>
    <row r="881" spans="1:70" ht="14.25" x14ac:dyDescent="0.2">
      <c r="A881" s="252">
        <v>2030</v>
      </c>
      <c r="B881" s="229" t="s">
        <v>2490</v>
      </c>
      <c r="C881" s="263" t="s">
        <v>2687</v>
      </c>
      <c r="D881" s="229" t="s">
        <v>2508</v>
      </c>
      <c r="E881" s="3" t="s">
        <v>101</v>
      </c>
      <c r="F881" s="26" t="s">
        <v>682</v>
      </c>
      <c r="G881" s="26" t="s">
        <v>55</v>
      </c>
      <c r="H881" s="26" t="s">
        <v>2492</v>
      </c>
      <c r="I881" s="26" t="s">
        <v>2493</v>
      </c>
      <c r="J881" s="22" t="s">
        <v>2498</v>
      </c>
      <c r="L881" s="28" t="s">
        <v>57</v>
      </c>
      <c r="M881" s="22" t="s">
        <v>58</v>
      </c>
      <c r="N881" s="22">
        <v>170</v>
      </c>
      <c r="O881" s="22" t="s">
        <v>59</v>
      </c>
      <c r="P881" s="22" t="s">
        <v>2499</v>
      </c>
      <c r="Q881" s="23" t="s">
        <v>2500</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2456</v>
      </c>
      <c r="BR881" s="5" t="s">
        <v>2494</v>
      </c>
    </row>
    <row r="882" spans="1:70" ht="14.25" x14ac:dyDescent="0.2">
      <c r="A882" s="252">
        <v>2031</v>
      </c>
      <c r="B882" s="229" t="s">
        <v>2490</v>
      </c>
      <c r="C882" s="263" t="s">
        <v>2687</v>
      </c>
      <c r="D882" s="229" t="s">
        <v>1110</v>
      </c>
      <c r="E882" s="3" t="s">
        <v>1110</v>
      </c>
      <c r="F882" s="26" t="s">
        <v>54</v>
      </c>
      <c r="G882" s="26" t="s">
        <v>55</v>
      </c>
      <c r="H882" s="26" t="s">
        <v>2509</v>
      </c>
      <c r="I882" s="26" t="s">
        <v>2510</v>
      </c>
      <c r="J882" s="22">
        <v>500</v>
      </c>
      <c r="L882" s="28" t="s">
        <v>57</v>
      </c>
      <c r="M882" s="22" t="s">
        <v>58</v>
      </c>
      <c r="N882" s="22" t="s">
        <v>2688</v>
      </c>
      <c r="O882" s="22" t="s">
        <v>59</v>
      </c>
      <c r="P882" s="22" t="s">
        <v>2511</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2456</v>
      </c>
      <c r="BR882" s="5" t="s">
        <v>2494</v>
      </c>
    </row>
    <row r="883" spans="1:70" ht="14.25" x14ac:dyDescent="0.2">
      <c r="A883" s="252">
        <v>2032</v>
      </c>
      <c r="B883" s="229" t="s">
        <v>2490</v>
      </c>
      <c r="C883" s="263" t="s">
        <v>2687</v>
      </c>
      <c r="D883" s="229" t="s">
        <v>2512</v>
      </c>
      <c r="E883" s="3" t="s">
        <v>2512</v>
      </c>
      <c r="F883" s="26" t="s">
        <v>54</v>
      </c>
      <c r="G883" s="26" t="s">
        <v>55</v>
      </c>
      <c r="H883" s="26" t="s">
        <v>2509</v>
      </c>
      <c r="I883" s="26" t="s">
        <v>2510</v>
      </c>
      <c r="J883" s="22">
        <v>500</v>
      </c>
      <c r="L883" s="28" t="s">
        <v>57</v>
      </c>
      <c r="M883" s="22" t="s">
        <v>58</v>
      </c>
      <c r="N883" s="22" t="s">
        <v>2688</v>
      </c>
      <c r="O883" s="22" t="s">
        <v>59</v>
      </c>
      <c r="P883" s="22" t="s">
        <v>2511</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2456</v>
      </c>
      <c r="BR883" s="5" t="s">
        <v>2494</v>
      </c>
    </row>
    <row r="884" spans="1:70" ht="14.25" x14ac:dyDescent="0.2">
      <c r="A884" s="252">
        <v>2033</v>
      </c>
      <c r="B884" s="229" t="s">
        <v>2490</v>
      </c>
      <c r="C884" s="263" t="s">
        <v>2687</v>
      </c>
      <c r="D884" s="229" t="s">
        <v>2513</v>
      </c>
      <c r="E884" s="3" t="s">
        <v>2513</v>
      </c>
      <c r="F884" s="26" t="s">
        <v>54</v>
      </c>
      <c r="G884" s="26" t="s">
        <v>55</v>
      </c>
      <c r="H884" s="26" t="s">
        <v>2509</v>
      </c>
      <c r="I884" s="26" t="s">
        <v>2510</v>
      </c>
      <c r="J884" s="22">
        <v>500</v>
      </c>
      <c r="L884" s="28" t="s">
        <v>57</v>
      </c>
      <c r="M884" s="22" t="s">
        <v>58</v>
      </c>
      <c r="N884" s="22" t="s">
        <v>2688</v>
      </c>
      <c r="O884" s="22" t="s">
        <v>59</v>
      </c>
      <c r="P884" s="22" t="s">
        <v>2511</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2456</v>
      </c>
      <c r="BR884" s="5" t="s">
        <v>2494</v>
      </c>
    </row>
    <row r="885" spans="1:70" ht="14.25" x14ac:dyDescent="0.2">
      <c r="A885" s="252">
        <v>2034</v>
      </c>
      <c r="B885" s="229" t="s">
        <v>2514</v>
      </c>
      <c r="C885" s="263" t="s">
        <v>2686</v>
      </c>
      <c r="D885" s="229" t="s">
        <v>2515</v>
      </c>
      <c r="E885" s="3" t="s">
        <v>101</v>
      </c>
      <c r="F885" s="26" t="s">
        <v>102</v>
      </c>
      <c r="G885" s="26" t="s">
        <v>55</v>
      </c>
      <c r="H885" s="26" t="s">
        <v>76</v>
      </c>
      <c r="I885" s="26" t="s">
        <v>2684</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2372</v>
      </c>
      <c r="BR885" s="5" t="s">
        <v>2516</v>
      </c>
    </row>
    <row r="886" spans="1:70" ht="14.25" x14ac:dyDescent="0.2">
      <c r="A886" s="252">
        <v>2035</v>
      </c>
      <c r="B886" s="229" t="s">
        <v>2514</v>
      </c>
      <c r="C886" s="263" t="s">
        <v>2686</v>
      </c>
      <c r="D886" s="229" t="s">
        <v>2517</v>
      </c>
      <c r="E886" s="3" t="s">
        <v>101</v>
      </c>
      <c r="F886" s="26" t="s">
        <v>102</v>
      </c>
      <c r="G886" s="26" t="s">
        <v>55</v>
      </c>
      <c r="H886" s="26" t="s">
        <v>76</v>
      </c>
      <c r="I886" s="26" t="s">
        <v>2684</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2372</v>
      </c>
      <c r="BR886" s="5" t="s">
        <v>2516</v>
      </c>
    </row>
    <row r="887" spans="1:70" ht="14.25" x14ac:dyDescent="0.2">
      <c r="A887" s="252">
        <v>2036</v>
      </c>
      <c r="B887" s="229" t="s">
        <v>2514</v>
      </c>
      <c r="C887" s="263" t="s">
        <v>2686</v>
      </c>
      <c r="D887" s="229" t="s">
        <v>2518</v>
      </c>
      <c r="E887" s="3" t="s">
        <v>101</v>
      </c>
      <c r="F887" s="26" t="s">
        <v>102</v>
      </c>
      <c r="G887" s="26" t="s">
        <v>55</v>
      </c>
      <c r="H887" s="26" t="s">
        <v>76</v>
      </c>
      <c r="I887" s="26" t="s">
        <v>2684</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2372</v>
      </c>
      <c r="BR887" s="5" t="s">
        <v>2516</v>
      </c>
    </row>
    <row r="888" spans="1:70" ht="14.25" x14ac:dyDescent="0.2">
      <c r="A888" s="252">
        <v>2037</v>
      </c>
      <c r="B888" s="229" t="s">
        <v>2514</v>
      </c>
      <c r="C888" s="263" t="s">
        <v>2686</v>
      </c>
      <c r="D888" s="229" t="s">
        <v>2519</v>
      </c>
      <c r="E888" s="3" t="s">
        <v>101</v>
      </c>
      <c r="F888" s="26" t="s">
        <v>102</v>
      </c>
      <c r="G888" s="26" t="s">
        <v>55</v>
      </c>
      <c r="H888" s="26" t="s">
        <v>76</v>
      </c>
      <c r="I888" s="26" t="s">
        <v>2684</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2372</v>
      </c>
      <c r="BR888" s="5" t="s">
        <v>2520</v>
      </c>
    </row>
    <row r="889" spans="1:70" ht="14.25" x14ac:dyDescent="0.2">
      <c r="A889" s="252">
        <v>2038</v>
      </c>
      <c r="B889" s="229" t="s">
        <v>2514</v>
      </c>
      <c r="C889" s="263" t="s">
        <v>2686</v>
      </c>
      <c r="D889" s="229" t="s">
        <v>2521</v>
      </c>
      <c r="E889" s="3" t="s">
        <v>101</v>
      </c>
      <c r="F889" s="26" t="s">
        <v>102</v>
      </c>
      <c r="G889" s="26" t="s">
        <v>55</v>
      </c>
      <c r="H889" s="26" t="s">
        <v>76</v>
      </c>
      <c r="I889" s="26" t="s">
        <v>2684</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2372</v>
      </c>
      <c r="BR889" s="5" t="s">
        <v>2520</v>
      </c>
    </row>
    <row r="890" spans="1:70" ht="14.25" x14ac:dyDescent="0.2">
      <c r="A890" s="252">
        <v>2039</v>
      </c>
      <c r="B890" s="229" t="s">
        <v>2514</v>
      </c>
      <c r="C890" s="263" t="s">
        <v>2686</v>
      </c>
      <c r="D890" s="229" t="s">
        <v>2522</v>
      </c>
      <c r="E890" s="3" t="s">
        <v>101</v>
      </c>
      <c r="F890" s="26" t="s">
        <v>102</v>
      </c>
      <c r="G890" s="26" t="s">
        <v>55</v>
      </c>
      <c r="H890" s="26" t="s">
        <v>76</v>
      </c>
      <c r="I890" s="26" t="s">
        <v>2684</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2372</v>
      </c>
      <c r="BR890" s="5" t="s">
        <v>2520</v>
      </c>
    </row>
    <row r="891" spans="1:70" x14ac:dyDescent="0.2">
      <c r="A891" s="252">
        <v>2040</v>
      </c>
      <c r="B891" s="229" t="s">
        <v>2732</v>
      </c>
      <c r="C891" s="259" t="s">
        <v>2690</v>
      </c>
      <c r="D891" s="229" t="s">
        <v>2691</v>
      </c>
      <c r="E891" s="3" t="s">
        <v>101</v>
      </c>
      <c r="F891" s="26" t="s">
        <v>102</v>
      </c>
      <c r="G891" s="26" t="s">
        <v>55</v>
      </c>
      <c r="H891" s="26" t="s">
        <v>1957</v>
      </c>
      <c r="J891" s="22">
        <v>3</v>
      </c>
      <c r="L891" s="28" t="s">
        <v>57</v>
      </c>
      <c r="M891" s="22" t="s">
        <v>58</v>
      </c>
      <c r="N891" s="22">
        <v>0</v>
      </c>
      <c r="O891" s="22" t="s">
        <v>59</v>
      </c>
      <c r="P891" s="22" t="s">
        <v>78</v>
      </c>
      <c r="Q891" s="23" t="s">
        <v>101</v>
      </c>
      <c r="R891" s="23" t="s">
        <v>2692</v>
      </c>
      <c r="T891" s="23">
        <v>100</v>
      </c>
      <c r="V891" s="25" t="s">
        <v>613</v>
      </c>
      <c r="W891" s="65" t="s">
        <v>653</v>
      </c>
      <c r="Z891" s="83" t="s">
        <v>62</v>
      </c>
      <c r="AA891" s="6">
        <v>12</v>
      </c>
      <c r="BQ891" s="6" t="s">
        <v>194</v>
      </c>
    </row>
    <row r="892" spans="1:70" x14ac:dyDescent="0.2">
      <c r="A892" s="252">
        <v>2041</v>
      </c>
      <c r="B892" s="229" t="s">
        <v>2732</v>
      </c>
      <c r="C892" s="259" t="s">
        <v>2690</v>
      </c>
      <c r="D892" s="229" t="s">
        <v>2693</v>
      </c>
      <c r="E892" s="3" t="s">
        <v>101</v>
      </c>
      <c r="F892" s="26" t="s">
        <v>102</v>
      </c>
      <c r="G892" s="26" t="s">
        <v>55</v>
      </c>
      <c r="H892" s="26" t="s">
        <v>1957</v>
      </c>
      <c r="J892" s="22">
        <v>3</v>
      </c>
      <c r="L892" s="28" t="s">
        <v>57</v>
      </c>
      <c r="M892" s="22" t="s">
        <v>58</v>
      </c>
      <c r="N892" s="22">
        <v>336</v>
      </c>
      <c r="O892" s="22" t="s">
        <v>59</v>
      </c>
      <c r="P892" s="22" t="s">
        <v>78</v>
      </c>
      <c r="Q892" s="23" t="s">
        <v>101</v>
      </c>
      <c r="R892" s="23" t="s">
        <v>2692</v>
      </c>
      <c r="T892" s="23">
        <v>100</v>
      </c>
      <c r="V892" s="25" t="s">
        <v>613</v>
      </c>
      <c r="W892" s="65" t="s">
        <v>653</v>
      </c>
      <c r="Z892" s="83" t="s">
        <v>62</v>
      </c>
      <c r="AA892" s="6">
        <v>12</v>
      </c>
      <c r="BQ892" s="6" t="s">
        <v>194</v>
      </c>
    </row>
    <row r="893" spans="1:70" x14ac:dyDescent="0.2">
      <c r="A893" s="91">
        <v>2042</v>
      </c>
      <c r="B893" s="229" t="s">
        <v>2748</v>
      </c>
      <c r="C893" s="259" t="s">
        <v>2749</v>
      </c>
      <c r="D893" s="229" t="s">
        <v>2750</v>
      </c>
      <c r="E893" s="3" t="s">
        <v>101</v>
      </c>
      <c r="F893" s="26" t="s">
        <v>102</v>
      </c>
      <c r="G893" s="26" t="s">
        <v>55</v>
      </c>
      <c r="H893" s="26" t="s">
        <v>2788</v>
      </c>
      <c r="J893" s="22">
        <v>4</v>
      </c>
      <c r="L893" s="28" t="s">
        <v>57</v>
      </c>
      <c r="M893" s="22" t="s">
        <v>58</v>
      </c>
      <c r="N893" s="22">
        <v>0</v>
      </c>
      <c r="O893" s="22" t="s">
        <v>59</v>
      </c>
      <c r="P893" s="22" t="s">
        <v>78</v>
      </c>
      <c r="Q893" s="23" t="s">
        <v>101</v>
      </c>
      <c r="R893" s="23" t="s">
        <v>2692</v>
      </c>
      <c r="Z893" s="83" t="s">
        <v>62</v>
      </c>
      <c r="AA893" s="6">
        <v>12</v>
      </c>
      <c r="AB893" s="6">
        <v>6</v>
      </c>
      <c r="AI893" s="5">
        <v>21</v>
      </c>
      <c r="AJ893" s="5">
        <v>34</v>
      </c>
      <c r="BQ893" s="6" t="s">
        <v>194</v>
      </c>
    </row>
    <row r="894" spans="1:70" x14ac:dyDescent="0.2">
      <c r="A894" s="91">
        <v>2043</v>
      </c>
      <c r="B894" s="229" t="s">
        <v>2748</v>
      </c>
      <c r="C894" s="259" t="s">
        <v>2749</v>
      </c>
      <c r="D894" s="229" t="s">
        <v>2751</v>
      </c>
      <c r="E894" s="3" t="s">
        <v>101</v>
      </c>
      <c r="F894" s="26" t="s">
        <v>102</v>
      </c>
      <c r="G894" s="26" t="s">
        <v>55</v>
      </c>
      <c r="H894" s="26" t="s">
        <v>2788</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2748</v>
      </c>
      <c r="C895" s="259" t="s">
        <v>2749</v>
      </c>
      <c r="D895" s="229" t="s">
        <v>2752</v>
      </c>
      <c r="E895" s="3" t="s">
        <v>101</v>
      </c>
      <c r="F895" s="26" t="s">
        <v>102</v>
      </c>
      <c r="G895" s="26" t="s">
        <v>55</v>
      </c>
      <c r="H895" s="26" t="s">
        <v>2788</v>
      </c>
      <c r="J895" s="22">
        <v>4</v>
      </c>
      <c r="L895" s="28" t="s">
        <v>57</v>
      </c>
      <c r="M895" s="22" t="s">
        <v>58</v>
      </c>
      <c r="N895" s="22">
        <v>12</v>
      </c>
      <c r="O895" s="22" t="s">
        <v>59</v>
      </c>
      <c r="P895" s="22" t="s">
        <v>78</v>
      </c>
      <c r="Q895" s="23" t="s">
        <v>101</v>
      </c>
      <c r="R895" s="23" t="s">
        <v>2692</v>
      </c>
      <c r="Z895" s="83" t="s">
        <v>62</v>
      </c>
      <c r="AA895" s="6">
        <v>12</v>
      </c>
      <c r="AB895" s="6">
        <v>6</v>
      </c>
      <c r="AI895" s="5">
        <v>21</v>
      </c>
      <c r="AJ895" s="5">
        <v>34</v>
      </c>
      <c r="BQ895" s="6" t="s">
        <v>194</v>
      </c>
    </row>
    <row r="896" spans="1:70" x14ac:dyDescent="0.2">
      <c r="A896" s="91">
        <v>2045</v>
      </c>
      <c r="B896" s="229" t="s">
        <v>2748</v>
      </c>
      <c r="C896" s="259" t="s">
        <v>2749</v>
      </c>
      <c r="D896" s="229" t="s">
        <v>2753</v>
      </c>
      <c r="E896" s="3" t="s">
        <v>101</v>
      </c>
      <c r="F896" s="26" t="s">
        <v>102</v>
      </c>
      <c r="G896" s="26" t="s">
        <v>55</v>
      </c>
      <c r="H896" s="26" t="s">
        <v>2788</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2748</v>
      </c>
      <c r="C897" s="259" t="s">
        <v>2749</v>
      </c>
      <c r="D897" s="229" t="s">
        <v>2693</v>
      </c>
      <c r="E897" s="3" t="s">
        <v>2185</v>
      </c>
      <c r="F897" s="26" t="s">
        <v>102</v>
      </c>
      <c r="G897" s="26" t="s">
        <v>55</v>
      </c>
      <c r="H897" s="26" t="s">
        <v>2789</v>
      </c>
      <c r="J897" s="22">
        <v>400</v>
      </c>
      <c r="L897" s="28" t="s">
        <v>57</v>
      </c>
      <c r="M897" s="22" t="s">
        <v>58</v>
      </c>
      <c r="N897" s="22">
        <v>0</v>
      </c>
      <c r="O897" s="22" t="s">
        <v>59</v>
      </c>
      <c r="P897" s="22" t="s">
        <v>78</v>
      </c>
      <c r="Q897" s="23" t="s">
        <v>2185</v>
      </c>
      <c r="R897" s="23" t="s">
        <v>2790</v>
      </c>
      <c r="Z897" s="83" t="s">
        <v>62</v>
      </c>
      <c r="AA897" s="6">
        <v>12</v>
      </c>
      <c r="AB897" s="6">
        <v>6</v>
      </c>
      <c r="AI897" s="5">
        <v>21</v>
      </c>
      <c r="AJ897" s="5">
        <v>34</v>
      </c>
      <c r="BQ897" s="6" t="s">
        <v>194</v>
      </c>
    </row>
    <row r="898" spans="1:70" x14ac:dyDescent="0.2">
      <c r="A898" s="91">
        <v>2047</v>
      </c>
      <c r="B898" s="229" t="s">
        <v>2748</v>
      </c>
      <c r="C898" s="259" t="s">
        <v>2749</v>
      </c>
      <c r="D898" s="229" t="s">
        <v>2756</v>
      </c>
      <c r="E898" s="3" t="s">
        <v>101</v>
      </c>
      <c r="F898" s="26" t="s">
        <v>102</v>
      </c>
      <c r="G898" s="26" t="s">
        <v>55</v>
      </c>
      <c r="H898" s="26" t="s">
        <v>76</v>
      </c>
      <c r="J898" s="22">
        <v>4</v>
      </c>
      <c r="L898" s="28" t="s">
        <v>57</v>
      </c>
      <c r="M898" s="22" t="s">
        <v>58</v>
      </c>
      <c r="N898" s="22">
        <v>132</v>
      </c>
      <c r="O898" s="22" t="s">
        <v>59</v>
      </c>
      <c r="P898" s="22" t="s">
        <v>78</v>
      </c>
      <c r="Q898" s="23" t="s">
        <v>101</v>
      </c>
      <c r="R898" s="23" t="s">
        <v>2692</v>
      </c>
      <c r="Z898" s="83" t="s">
        <v>62</v>
      </c>
      <c r="AA898" s="6">
        <v>12</v>
      </c>
      <c r="AB898" s="6">
        <v>6</v>
      </c>
      <c r="AI898" s="5">
        <v>21</v>
      </c>
      <c r="AJ898" s="5">
        <v>34</v>
      </c>
      <c r="BQ898" s="6" t="s">
        <v>194</v>
      </c>
    </row>
    <row r="899" spans="1:70" x14ac:dyDescent="0.2">
      <c r="A899" s="91">
        <v>2048</v>
      </c>
      <c r="B899" s="229" t="s">
        <v>2748</v>
      </c>
      <c r="C899" s="259" t="s">
        <v>2749</v>
      </c>
      <c r="D899" s="229" t="s">
        <v>2757</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2748</v>
      </c>
      <c r="C900" s="259" t="s">
        <v>2749</v>
      </c>
      <c r="D900" s="229" t="s">
        <v>2758</v>
      </c>
      <c r="E900" s="3" t="s">
        <v>101</v>
      </c>
      <c r="F900" s="26" t="s">
        <v>102</v>
      </c>
      <c r="G900" s="26" t="s">
        <v>55</v>
      </c>
      <c r="H900" s="26" t="s">
        <v>76</v>
      </c>
      <c r="J900" s="22">
        <v>4</v>
      </c>
      <c r="L900" s="28" t="s">
        <v>57</v>
      </c>
      <c r="M900" s="22" t="s">
        <v>58</v>
      </c>
      <c r="N900" s="22">
        <v>252</v>
      </c>
      <c r="O900" s="22" t="s">
        <v>59</v>
      </c>
      <c r="P900" s="22" t="s">
        <v>78</v>
      </c>
      <c r="Q900" s="23" t="s">
        <v>101</v>
      </c>
      <c r="R900" s="23" t="s">
        <v>2692</v>
      </c>
      <c r="Z900" s="83" t="s">
        <v>62</v>
      </c>
      <c r="AA900" s="6">
        <v>12</v>
      </c>
      <c r="AB900" s="6">
        <v>6</v>
      </c>
      <c r="AI900" s="5">
        <v>21</v>
      </c>
      <c r="AJ900" s="5">
        <v>34</v>
      </c>
      <c r="BQ900" s="6" t="s">
        <v>194</v>
      </c>
    </row>
    <row r="901" spans="1:70" x14ac:dyDescent="0.2">
      <c r="A901" s="91">
        <v>2050</v>
      </c>
      <c r="B901" s="229" t="s">
        <v>2748</v>
      </c>
      <c r="C901" s="259" t="s">
        <v>2749</v>
      </c>
      <c r="D901" s="229" t="s">
        <v>2759</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2748</v>
      </c>
      <c r="C902" s="259" t="s">
        <v>2749</v>
      </c>
      <c r="D902" s="229" t="s">
        <v>2760</v>
      </c>
      <c r="E902" s="3" t="s">
        <v>101</v>
      </c>
      <c r="F902" s="26" t="s">
        <v>102</v>
      </c>
      <c r="G902" s="26" t="s">
        <v>55</v>
      </c>
      <c r="H902" s="26" t="s">
        <v>76</v>
      </c>
      <c r="J902" s="22">
        <v>4</v>
      </c>
      <c r="L902" s="28" t="s">
        <v>57</v>
      </c>
      <c r="M902" s="22" t="s">
        <v>58</v>
      </c>
      <c r="N902" s="22">
        <v>372</v>
      </c>
      <c r="O902" s="22" t="s">
        <v>59</v>
      </c>
      <c r="P902" s="22" t="s">
        <v>78</v>
      </c>
      <c r="Q902" s="23" t="s">
        <v>101</v>
      </c>
      <c r="R902" s="23" t="s">
        <v>2692</v>
      </c>
      <c r="Z902" s="83" t="s">
        <v>62</v>
      </c>
      <c r="AA902" s="6">
        <v>12</v>
      </c>
      <c r="AB902" s="6">
        <v>6</v>
      </c>
      <c r="AI902" s="5">
        <v>21</v>
      </c>
      <c r="AJ902" s="5">
        <v>34</v>
      </c>
      <c r="BQ902" s="6" t="s">
        <v>194</v>
      </c>
    </row>
    <row r="903" spans="1:70" x14ac:dyDescent="0.2">
      <c r="A903" s="91">
        <v>2052</v>
      </c>
      <c r="B903" s="229" t="s">
        <v>2748</v>
      </c>
      <c r="C903" s="259" t="s">
        <v>2749</v>
      </c>
      <c r="D903" s="229" t="s">
        <v>2761</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2748</v>
      </c>
      <c r="C904" s="259" t="s">
        <v>2749</v>
      </c>
      <c r="D904" s="229" t="s">
        <v>2762</v>
      </c>
      <c r="E904" s="3" t="s">
        <v>101</v>
      </c>
      <c r="F904" s="26" t="s">
        <v>102</v>
      </c>
      <c r="G904" s="26" t="s">
        <v>55</v>
      </c>
      <c r="H904" s="26" t="s">
        <v>76</v>
      </c>
      <c r="J904" s="22">
        <v>4</v>
      </c>
      <c r="L904" s="28" t="s">
        <v>57</v>
      </c>
      <c r="M904" s="22" t="s">
        <v>58</v>
      </c>
      <c r="N904" s="22">
        <v>516</v>
      </c>
      <c r="O904" s="22" t="s">
        <v>59</v>
      </c>
      <c r="P904" s="22" t="s">
        <v>78</v>
      </c>
      <c r="Q904" s="23" t="s">
        <v>101</v>
      </c>
      <c r="R904" s="23" t="s">
        <v>2692</v>
      </c>
      <c r="Z904" s="83" t="s">
        <v>62</v>
      </c>
      <c r="AA904" s="6">
        <v>12</v>
      </c>
      <c r="AB904" s="6">
        <v>6</v>
      </c>
      <c r="AI904" s="5">
        <v>21</v>
      </c>
      <c r="AJ904" s="5">
        <v>34</v>
      </c>
      <c r="BQ904" s="6" t="s">
        <v>194</v>
      </c>
    </row>
    <row r="905" spans="1:70" x14ac:dyDescent="0.2">
      <c r="A905" s="91">
        <v>2054</v>
      </c>
      <c r="B905" s="229" t="s">
        <v>2748</v>
      </c>
      <c r="C905" s="259" t="s">
        <v>2749</v>
      </c>
      <c r="D905" s="229" t="s">
        <v>2763</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1304</v>
      </c>
      <c r="C906" s="263" t="s">
        <v>1305</v>
      </c>
      <c r="D906" s="122" t="s">
        <v>1306</v>
      </c>
      <c r="E906" s="3" t="s">
        <v>148</v>
      </c>
      <c r="F906" s="26" t="s">
        <v>102</v>
      </c>
      <c r="G906" s="26" t="s">
        <v>55</v>
      </c>
      <c r="H906" s="26" t="s">
        <v>181</v>
      </c>
      <c r="J906" s="22">
        <v>2.5</v>
      </c>
      <c r="L906" s="28" t="s">
        <v>106</v>
      </c>
      <c r="M906" s="22" t="s">
        <v>77</v>
      </c>
      <c r="N906" s="22">
        <v>0</v>
      </c>
      <c r="O906" s="22" t="s">
        <v>59</v>
      </c>
      <c r="P906" s="22" t="s">
        <v>1307</v>
      </c>
      <c r="R906" s="23" t="s">
        <v>1308</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1309</v>
      </c>
    </row>
    <row r="907" spans="1:70" ht="14.25" x14ac:dyDescent="0.2">
      <c r="A907" s="181">
        <v>5198</v>
      </c>
      <c r="B907" s="122" t="s">
        <v>1304</v>
      </c>
      <c r="C907" s="263" t="s">
        <v>1305</v>
      </c>
      <c r="D907" s="122" t="s">
        <v>1310</v>
      </c>
      <c r="E907" s="3" t="s">
        <v>148</v>
      </c>
      <c r="F907" s="26" t="s">
        <v>102</v>
      </c>
      <c r="G907" s="26" t="s">
        <v>55</v>
      </c>
      <c r="H907" s="26" t="s">
        <v>420</v>
      </c>
      <c r="J907" s="22">
        <v>2.5</v>
      </c>
      <c r="L907" s="28" t="s">
        <v>106</v>
      </c>
      <c r="M907" s="22" t="s">
        <v>77</v>
      </c>
      <c r="N907" s="22">
        <v>0</v>
      </c>
      <c r="O907" s="22" t="s">
        <v>59</v>
      </c>
      <c r="P907" s="22" t="s">
        <v>1307</v>
      </c>
      <c r="R907" s="23" t="s">
        <v>1308</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1311</v>
      </c>
    </row>
    <row r="908" spans="1:70" ht="14.25" x14ac:dyDescent="0.2">
      <c r="A908" s="181">
        <v>5199</v>
      </c>
      <c r="B908" s="122" t="s">
        <v>1304</v>
      </c>
      <c r="C908" s="263" t="s">
        <v>1305</v>
      </c>
      <c r="D908" s="122" t="s">
        <v>1312</v>
      </c>
      <c r="E908" s="3" t="s">
        <v>148</v>
      </c>
      <c r="F908" s="26" t="s">
        <v>102</v>
      </c>
      <c r="G908" s="26" t="s">
        <v>55</v>
      </c>
      <c r="H908" s="26" t="s">
        <v>210</v>
      </c>
      <c r="J908" s="22">
        <v>2.5</v>
      </c>
      <c r="L908" s="28" t="s">
        <v>106</v>
      </c>
      <c r="M908" s="22" t="s">
        <v>77</v>
      </c>
      <c r="N908" s="22">
        <v>0</v>
      </c>
      <c r="O908" s="22" t="s">
        <v>59</v>
      </c>
      <c r="P908" s="22" t="s">
        <v>1307</v>
      </c>
      <c r="R908" s="23" t="s">
        <v>1308</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1313</v>
      </c>
    </row>
    <row r="909" spans="1:70" ht="14.25" x14ac:dyDescent="0.2">
      <c r="A909" s="181">
        <v>5200</v>
      </c>
      <c r="B909" s="122" t="s">
        <v>1304</v>
      </c>
      <c r="C909" s="263" t="s">
        <v>1305</v>
      </c>
      <c r="D909" s="235" t="s">
        <v>1314</v>
      </c>
      <c r="E909" s="3" t="s">
        <v>148</v>
      </c>
      <c r="F909" s="26" t="s">
        <v>102</v>
      </c>
      <c r="G909" s="26" t="s">
        <v>55</v>
      </c>
      <c r="H909" s="26" t="s">
        <v>210</v>
      </c>
      <c r="J909" s="22">
        <v>2.5</v>
      </c>
      <c r="L909" s="28" t="s">
        <v>106</v>
      </c>
      <c r="M909" s="22" t="s">
        <v>77</v>
      </c>
      <c r="N909" s="22">
        <v>0</v>
      </c>
      <c r="O909" s="22" t="s">
        <v>59</v>
      </c>
      <c r="P909" s="22" t="s">
        <v>1307</v>
      </c>
      <c r="R909" s="23" t="s">
        <v>1308</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1313</v>
      </c>
    </row>
    <row r="910" spans="1:70" x14ac:dyDescent="0.2">
      <c r="A910" s="91">
        <v>5295</v>
      </c>
      <c r="B910" s="229" t="s">
        <v>1439</v>
      </c>
      <c r="C910" s="259" t="s">
        <v>1735</v>
      </c>
      <c r="D910" s="229" t="s">
        <v>1736</v>
      </c>
      <c r="E910" s="3" t="s">
        <v>1172</v>
      </c>
      <c r="F910" s="26" t="s">
        <v>102</v>
      </c>
      <c r="G910" s="26" t="s">
        <v>55</v>
      </c>
      <c r="H910" s="26" t="s">
        <v>193</v>
      </c>
      <c r="J910" s="22">
        <v>400</v>
      </c>
      <c r="L910" s="28" t="s">
        <v>57</v>
      </c>
      <c r="M910" s="22" t="s">
        <v>58</v>
      </c>
      <c r="N910" s="22">
        <v>0</v>
      </c>
      <c r="O910" s="22" t="s">
        <v>59</v>
      </c>
      <c r="P910" s="22" t="s">
        <v>78</v>
      </c>
      <c r="R910" s="23" t="s">
        <v>1737</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1738</v>
      </c>
    </row>
    <row r="911" spans="1:70" x14ac:dyDescent="0.2">
      <c r="A911" s="91">
        <v>5296</v>
      </c>
      <c r="B911" s="229" t="s">
        <v>1739</v>
      </c>
      <c r="C911" s="259" t="s">
        <v>1740</v>
      </c>
      <c r="D911" s="229" t="s">
        <v>1741</v>
      </c>
      <c r="E911" s="3" t="s">
        <v>1172</v>
      </c>
      <c r="F911" s="26" t="s">
        <v>102</v>
      </c>
      <c r="G911" s="26" t="s">
        <v>55</v>
      </c>
      <c r="H911" s="26" t="s">
        <v>1742</v>
      </c>
      <c r="J911" s="22">
        <v>100</v>
      </c>
      <c r="L911" s="28" t="s">
        <v>57</v>
      </c>
      <c r="M911" s="22" t="s">
        <v>58</v>
      </c>
      <c r="N911" s="22" t="s">
        <v>1743</v>
      </c>
      <c r="O911" s="22" t="s">
        <v>59</v>
      </c>
      <c r="P911" s="22" t="s">
        <v>91</v>
      </c>
      <c r="R911" s="23" t="s">
        <v>1737</v>
      </c>
      <c r="V911" s="165" t="s">
        <v>613</v>
      </c>
      <c r="W911" s="166">
        <v>8</v>
      </c>
      <c r="X911" s="106">
        <v>4</v>
      </c>
      <c r="Y911" s="25" t="s">
        <v>1744</v>
      </c>
      <c r="Z911" s="83" t="s">
        <v>62</v>
      </c>
      <c r="AA911" s="6">
        <v>7</v>
      </c>
      <c r="AB911" s="6">
        <v>0</v>
      </c>
      <c r="AC911" s="5">
        <v>46</v>
      </c>
      <c r="AD911" s="5" t="s">
        <v>79</v>
      </c>
      <c r="AE911" s="5" t="s">
        <v>334</v>
      </c>
      <c r="AF911" s="5">
        <v>13</v>
      </c>
      <c r="AG911" s="5" t="s">
        <v>79</v>
      </c>
      <c r="BR911" s="5" t="s">
        <v>447</v>
      </c>
    </row>
    <row r="912" spans="1:70" x14ac:dyDescent="0.2">
      <c r="A912" s="91">
        <v>5297</v>
      </c>
      <c r="B912" s="229" t="s">
        <v>1739</v>
      </c>
      <c r="C912" s="259" t="s">
        <v>1740</v>
      </c>
      <c r="D912" s="229" t="s">
        <v>1745</v>
      </c>
      <c r="E912" s="3" t="s">
        <v>1172</v>
      </c>
      <c r="F912" s="26" t="s">
        <v>102</v>
      </c>
      <c r="G912" s="26" t="s">
        <v>55</v>
      </c>
      <c r="H912" s="26" t="s">
        <v>1742</v>
      </c>
      <c r="J912" s="22">
        <v>200</v>
      </c>
      <c r="L912" s="28" t="s">
        <v>57</v>
      </c>
      <c r="M912" s="22" t="s">
        <v>58</v>
      </c>
      <c r="N912" s="176" t="s">
        <v>1743</v>
      </c>
      <c r="O912" s="22" t="s">
        <v>59</v>
      </c>
      <c r="P912" s="22" t="s">
        <v>91</v>
      </c>
      <c r="R912" s="23" t="s">
        <v>1737</v>
      </c>
      <c r="V912" s="165" t="s">
        <v>613</v>
      </c>
      <c r="W912" s="166">
        <v>8</v>
      </c>
      <c r="X912" s="106">
        <v>4</v>
      </c>
      <c r="Y912" s="25" t="s">
        <v>1744</v>
      </c>
      <c r="Z912" s="83" t="s">
        <v>62</v>
      </c>
      <c r="AA912" s="6">
        <v>7</v>
      </c>
      <c r="AB912" s="6">
        <v>1</v>
      </c>
      <c r="AC912" s="5">
        <v>37</v>
      </c>
      <c r="AD912" s="5" t="s">
        <v>79</v>
      </c>
      <c r="AE912" s="5" t="s">
        <v>334</v>
      </c>
      <c r="AF912" s="5">
        <v>12</v>
      </c>
      <c r="AG912" s="5" t="s">
        <v>79</v>
      </c>
    </row>
    <row r="913" spans="1:70" x14ac:dyDescent="0.2">
      <c r="A913" s="91">
        <v>5298</v>
      </c>
      <c r="B913" s="229" t="s">
        <v>1739</v>
      </c>
      <c r="C913" s="259" t="s">
        <v>1740</v>
      </c>
      <c r="D913" s="229" t="s">
        <v>1746</v>
      </c>
      <c r="E913" s="3" t="s">
        <v>1172</v>
      </c>
      <c r="F913" s="26" t="s">
        <v>102</v>
      </c>
      <c r="G913" s="26" t="s">
        <v>55</v>
      </c>
      <c r="H913" s="26" t="s">
        <v>1742</v>
      </c>
      <c r="J913" s="22">
        <v>400</v>
      </c>
      <c r="L913" s="28" t="s">
        <v>57</v>
      </c>
      <c r="M913" s="22" t="s">
        <v>58</v>
      </c>
      <c r="N913" s="176" t="s">
        <v>1743</v>
      </c>
      <c r="O913" s="22" t="s">
        <v>59</v>
      </c>
      <c r="P913" s="22" t="s">
        <v>91</v>
      </c>
      <c r="R913" s="23" t="s">
        <v>1737</v>
      </c>
      <c r="V913" s="165" t="s">
        <v>613</v>
      </c>
      <c r="W913" s="166">
        <v>8</v>
      </c>
      <c r="X913" s="106">
        <v>4</v>
      </c>
      <c r="Y913" s="25" t="s">
        <v>1744</v>
      </c>
      <c r="Z913" s="83" t="s">
        <v>62</v>
      </c>
      <c r="AA913" s="6">
        <v>6</v>
      </c>
      <c r="AB913" s="6">
        <v>0</v>
      </c>
      <c r="AC913" s="5">
        <v>41</v>
      </c>
      <c r="AD913" s="5" t="s">
        <v>79</v>
      </c>
      <c r="AE913" s="5" t="s">
        <v>334</v>
      </c>
      <c r="AF913" s="5">
        <v>10</v>
      </c>
      <c r="AG913" s="5" t="s">
        <v>79</v>
      </c>
    </row>
    <row r="914" spans="1:70" x14ac:dyDescent="0.2">
      <c r="A914" s="91">
        <v>5299</v>
      </c>
      <c r="B914" s="229" t="s">
        <v>1739</v>
      </c>
      <c r="C914" s="259" t="s">
        <v>1740</v>
      </c>
      <c r="D914" s="229" t="s">
        <v>1747</v>
      </c>
      <c r="E914" s="3" t="s">
        <v>1172</v>
      </c>
      <c r="F914" s="26" t="s">
        <v>102</v>
      </c>
      <c r="G914" s="26" t="s">
        <v>55</v>
      </c>
      <c r="H914" s="26" t="s">
        <v>1742</v>
      </c>
      <c r="J914" s="22">
        <v>600</v>
      </c>
      <c r="L914" s="28" t="s">
        <v>57</v>
      </c>
      <c r="M914" s="22" t="s">
        <v>58</v>
      </c>
      <c r="N914" s="176" t="s">
        <v>1743</v>
      </c>
      <c r="O914" s="22" t="s">
        <v>59</v>
      </c>
      <c r="P914" s="22" t="s">
        <v>91</v>
      </c>
      <c r="R914" s="23" t="s">
        <v>1737</v>
      </c>
      <c r="V914" s="165" t="s">
        <v>613</v>
      </c>
      <c r="W914" s="166">
        <v>8</v>
      </c>
      <c r="X914" s="106">
        <v>4</v>
      </c>
      <c r="Y914" s="25" t="s">
        <v>1744</v>
      </c>
      <c r="Z914" s="83" t="s">
        <v>62</v>
      </c>
      <c r="AA914" s="6">
        <v>8</v>
      </c>
      <c r="AB914" s="6">
        <v>0</v>
      </c>
      <c r="AC914" s="5">
        <v>39</v>
      </c>
      <c r="AD914" s="5" t="s">
        <v>79</v>
      </c>
      <c r="AE914" s="5" t="s">
        <v>334</v>
      </c>
      <c r="AF914" s="5">
        <v>6</v>
      </c>
      <c r="AG914" s="5" t="s">
        <v>79</v>
      </c>
    </row>
    <row r="915" spans="1:70" x14ac:dyDescent="0.2">
      <c r="A915" s="91">
        <v>5300</v>
      </c>
      <c r="B915" s="229" t="s">
        <v>1748</v>
      </c>
      <c r="C915" s="259" t="s">
        <v>1749</v>
      </c>
      <c r="D915" s="229" t="s">
        <v>1750</v>
      </c>
      <c r="E915" s="3" t="s">
        <v>1172</v>
      </c>
      <c r="F915" s="26" t="s">
        <v>102</v>
      </c>
      <c r="G915" s="26" t="s">
        <v>55</v>
      </c>
      <c r="H915" s="26" t="s">
        <v>295</v>
      </c>
      <c r="J915" s="22">
        <v>200</v>
      </c>
      <c r="L915" s="28" t="s">
        <v>57</v>
      </c>
      <c r="M915" s="22" t="s">
        <v>58</v>
      </c>
      <c r="N915" s="176">
        <v>0</v>
      </c>
      <c r="O915" s="22" t="s">
        <v>59</v>
      </c>
      <c r="P915" s="22" t="s">
        <v>78</v>
      </c>
      <c r="R915" s="23" t="s">
        <v>1737</v>
      </c>
      <c r="V915" s="165" t="s">
        <v>613</v>
      </c>
      <c r="W915" s="166"/>
      <c r="Z915" s="83" t="s">
        <v>62</v>
      </c>
      <c r="AA915" s="6">
        <v>8</v>
      </c>
      <c r="AD915" s="5" t="s">
        <v>79</v>
      </c>
      <c r="AI915" s="5">
        <v>8</v>
      </c>
      <c r="AJ915" s="5">
        <v>45</v>
      </c>
    </row>
    <row r="916" spans="1:70" x14ac:dyDescent="0.2">
      <c r="A916" s="91">
        <v>5301</v>
      </c>
      <c r="B916" s="229" t="s">
        <v>1751</v>
      </c>
      <c r="C916" s="259" t="s">
        <v>1752</v>
      </c>
      <c r="D916" s="229" t="s">
        <v>1753</v>
      </c>
      <c r="E916" s="3" t="s">
        <v>1172</v>
      </c>
      <c r="F916" s="26" t="s">
        <v>102</v>
      </c>
      <c r="G916" s="26" t="s">
        <v>55</v>
      </c>
      <c r="H916" s="26" t="s">
        <v>420</v>
      </c>
      <c r="J916" s="22">
        <v>5.7</v>
      </c>
      <c r="L916" s="28" t="s">
        <v>106</v>
      </c>
      <c r="M916" s="22" t="s">
        <v>58</v>
      </c>
      <c r="N916" s="176">
        <v>0</v>
      </c>
      <c r="O916" s="22" t="s">
        <v>59</v>
      </c>
      <c r="P916" s="22" t="s">
        <v>1754</v>
      </c>
      <c r="R916" s="23" t="s">
        <v>1755</v>
      </c>
      <c r="U916" s="23" t="s">
        <v>1756</v>
      </c>
      <c r="V916" s="165"/>
      <c r="W916" s="166"/>
      <c r="Y916" s="25" t="s">
        <v>1757</v>
      </c>
      <c r="Z916" s="83" t="s">
        <v>62</v>
      </c>
      <c r="AA916" s="6">
        <v>11</v>
      </c>
      <c r="AC916" s="5">
        <v>3.5</v>
      </c>
      <c r="AD916" s="5" t="s">
        <v>212</v>
      </c>
      <c r="AE916" s="5" t="s">
        <v>334</v>
      </c>
      <c r="AI916" s="5">
        <v>1</v>
      </c>
      <c r="AJ916" s="5">
        <v>6</v>
      </c>
      <c r="AK916" s="6">
        <v>5.5</v>
      </c>
      <c r="AL916" s="6" t="s">
        <v>80</v>
      </c>
      <c r="AM916" s="6" t="s">
        <v>1758</v>
      </c>
      <c r="AN916" s="6">
        <v>22</v>
      </c>
      <c r="AO916" s="6" t="s">
        <v>446</v>
      </c>
      <c r="AP916" s="6" t="s">
        <v>1759</v>
      </c>
      <c r="BQ916" s="6" t="s">
        <v>213</v>
      </c>
      <c r="BR916" s="5" t="s">
        <v>1760</v>
      </c>
    </row>
    <row r="917" spans="1:70" x14ac:dyDescent="0.2">
      <c r="A917" s="91">
        <v>5302</v>
      </c>
      <c r="B917" s="229" t="s">
        <v>1751</v>
      </c>
      <c r="C917" s="259" t="s">
        <v>1752</v>
      </c>
      <c r="D917" s="229" t="s">
        <v>1761</v>
      </c>
      <c r="E917" s="3" t="s">
        <v>1172</v>
      </c>
      <c r="F917" s="26" t="s">
        <v>102</v>
      </c>
      <c r="G917" s="26" t="s">
        <v>55</v>
      </c>
      <c r="H917" s="26" t="s">
        <v>420</v>
      </c>
      <c r="J917" s="22">
        <v>5.9</v>
      </c>
      <c r="L917" s="28" t="s">
        <v>106</v>
      </c>
      <c r="M917" s="22" t="s">
        <v>58</v>
      </c>
      <c r="N917" s="22">
        <v>0</v>
      </c>
      <c r="O917" s="22" t="s">
        <v>59</v>
      </c>
      <c r="P917" s="22" t="s">
        <v>1754</v>
      </c>
      <c r="R917" s="23" t="s">
        <v>1755</v>
      </c>
      <c r="U917" s="23" t="s">
        <v>1756</v>
      </c>
      <c r="Y917" s="25" t="s">
        <v>1757</v>
      </c>
      <c r="Z917" s="83" t="s">
        <v>62</v>
      </c>
      <c r="AA917" s="6">
        <v>8</v>
      </c>
      <c r="AC917" s="5">
        <v>15</v>
      </c>
      <c r="AD917" s="5" t="s">
        <v>212</v>
      </c>
      <c r="AE917" s="5" t="s">
        <v>334</v>
      </c>
      <c r="AI917" s="5">
        <v>6</v>
      </c>
      <c r="AJ917" s="5">
        <v>24</v>
      </c>
      <c r="AK917" s="6">
        <v>8.5</v>
      </c>
      <c r="AL917" s="6" t="s">
        <v>80</v>
      </c>
      <c r="AM917" s="6" t="s">
        <v>1758</v>
      </c>
      <c r="AN917" s="6">
        <v>8.5</v>
      </c>
      <c r="AO917" s="6" t="s">
        <v>446</v>
      </c>
      <c r="AP917" s="6" t="s">
        <v>1759</v>
      </c>
      <c r="BQ917" s="6" t="s">
        <v>213</v>
      </c>
      <c r="BR917" s="5" t="s">
        <v>1760</v>
      </c>
    </row>
    <row r="918" spans="1:70" x14ac:dyDescent="0.2">
      <c r="A918" s="91">
        <v>5303</v>
      </c>
      <c r="B918" s="229" t="s">
        <v>1762</v>
      </c>
      <c r="C918" s="259" t="s">
        <v>1763</v>
      </c>
      <c r="D918" s="229" t="s">
        <v>1764</v>
      </c>
      <c r="E918" s="3" t="s">
        <v>1172</v>
      </c>
      <c r="F918" s="26" t="s">
        <v>102</v>
      </c>
      <c r="G918" s="26" t="s">
        <v>55</v>
      </c>
      <c r="H918" s="26" t="s">
        <v>1765</v>
      </c>
      <c r="J918" s="22">
        <v>400</v>
      </c>
      <c r="L918" s="28" t="s">
        <v>57</v>
      </c>
      <c r="M918" s="22" t="s">
        <v>58</v>
      </c>
      <c r="N918" s="22">
        <v>0</v>
      </c>
      <c r="O918" s="22" t="s">
        <v>59</v>
      </c>
      <c r="P918" s="22" t="s">
        <v>1766</v>
      </c>
      <c r="R918" s="23" t="s">
        <v>1737</v>
      </c>
      <c r="Y918" s="25" t="s">
        <v>1757</v>
      </c>
      <c r="Z918" s="83" t="s">
        <v>62</v>
      </c>
    </row>
    <row r="919" spans="1:70" x14ac:dyDescent="0.2">
      <c r="A919" s="91">
        <v>5304</v>
      </c>
      <c r="B919" s="229" t="s">
        <v>1762</v>
      </c>
      <c r="C919" s="259" t="s">
        <v>1763</v>
      </c>
      <c r="D919" s="229" t="s">
        <v>1767</v>
      </c>
      <c r="E919" s="3" t="s">
        <v>1172</v>
      </c>
      <c r="F919" s="26" t="s">
        <v>102</v>
      </c>
      <c r="G919" s="26" t="s">
        <v>55</v>
      </c>
      <c r="H919" s="26" t="s">
        <v>1765</v>
      </c>
      <c r="J919" s="22">
        <v>400</v>
      </c>
      <c r="L919" s="28" t="s">
        <v>57</v>
      </c>
      <c r="M919" s="22" t="s">
        <v>58</v>
      </c>
      <c r="N919" s="22">
        <v>0</v>
      </c>
      <c r="O919" s="22" t="s">
        <v>59</v>
      </c>
      <c r="P919" s="22" t="s">
        <v>1766</v>
      </c>
      <c r="R919" s="23" t="s">
        <v>1737</v>
      </c>
      <c r="Y919" s="25" t="s">
        <v>1757</v>
      </c>
      <c r="Z919" s="83" t="s">
        <v>62</v>
      </c>
    </row>
    <row r="920" spans="1:70" x14ac:dyDescent="0.2">
      <c r="A920" s="91">
        <v>5305</v>
      </c>
      <c r="B920" s="229" t="s">
        <v>1762</v>
      </c>
      <c r="C920" s="259" t="s">
        <v>1763</v>
      </c>
      <c r="D920" s="229" t="s">
        <v>1768</v>
      </c>
      <c r="E920" s="3" t="s">
        <v>1172</v>
      </c>
      <c r="F920" s="26" t="s">
        <v>102</v>
      </c>
      <c r="G920" s="26" t="s">
        <v>55</v>
      </c>
      <c r="H920" s="26" t="s">
        <v>1765</v>
      </c>
      <c r="J920" s="22">
        <v>6</v>
      </c>
      <c r="L920" s="28" t="s">
        <v>106</v>
      </c>
      <c r="M920" s="22" t="s">
        <v>58</v>
      </c>
      <c r="N920" s="22">
        <v>0</v>
      </c>
      <c r="O920" s="22" t="s">
        <v>59</v>
      </c>
      <c r="P920" s="22" t="s">
        <v>1766</v>
      </c>
      <c r="R920" s="23" t="s">
        <v>1769</v>
      </c>
      <c r="Y920" s="25" t="s">
        <v>1757</v>
      </c>
      <c r="Z920" s="83" t="s">
        <v>62</v>
      </c>
    </row>
    <row r="921" spans="1:70" x14ac:dyDescent="0.2">
      <c r="A921" s="91">
        <v>5306</v>
      </c>
      <c r="B921" s="229" t="s">
        <v>1762</v>
      </c>
      <c r="C921" s="259" t="s">
        <v>1763</v>
      </c>
      <c r="D921" s="229" t="s">
        <v>1770</v>
      </c>
      <c r="E921" s="3" t="s">
        <v>1172</v>
      </c>
      <c r="F921" s="26" t="s">
        <v>102</v>
      </c>
      <c r="G921" s="26" t="s">
        <v>55</v>
      </c>
      <c r="H921" s="26" t="s">
        <v>1765</v>
      </c>
      <c r="I921" s="179"/>
      <c r="J921" s="22">
        <v>6</v>
      </c>
      <c r="L921" s="28" t="s">
        <v>106</v>
      </c>
      <c r="M921" s="22" t="s">
        <v>58</v>
      </c>
      <c r="N921" s="22">
        <v>0</v>
      </c>
      <c r="O921" s="22" t="s">
        <v>59</v>
      </c>
      <c r="P921" s="22" t="s">
        <v>1766</v>
      </c>
      <c r="R921" s="23" t="s">
        <v>1769</v>
      </c>
      <c r="Y921" s="25" t="s">
        <v>1757</v>
      </c>
      <c r="Z921" s="83" t="s">
        <v>62</v>
      </c>
    </row>
    <row r="922" spans="1:70" x14ac:dyDescent="0.2">
      <c r="A922" s="91">
        <v>5307</v>
      </c>
      <c r="B922" s="229" t="s">
        <v>1771</v>
      </c>
      <c r="C922" s="259" t="s">
        <v>1772</v>
      </c>
      <c r="D922" s="229" t="s">
        <v>1773</v>
      </c>
      <c r="E922" s="3" t="s">
        <v>1172</v>
      </c>
      <c r="F922" s="26" t="s">
        <v>102</v>
      </c>
      <c r="G922" s="26" t="s">
        <v>55</v>
      </c>
      <c r="H922" s="26" t="s">
        <v>1774</v>
      </c>
      <c r="I922" s="179"/>
      <c r="R922" s="23" t="s">
        <v>1769</v>
      </c>
      <c r="Y922" s="165" t="s">
        <v>2939</v>
      </c>
      <c r="Z922" s="83" t="s">
        <v>62</v>
      </c>
    </row>
    <row r="923" spans="1:70" x14ac:dyDescent="0.2">
      <c r="A923" s="91">
        <v>5308</v>
      </c>
      <c r="B923" s="229" t="s">
        <v>1771</v>
      </c>
      <c r="C923" s="259" t="s">
        <v>1772</v>
      </c>
      <c r="D923" s="229" t="s">
        <v>1775</v>
      </c>
      <c r="E923" s="3" t="s">
        <v>1172</v>
      </c>
      <c r="F923" s="26" t="s">
        <v>102</v>
      </c>
      <c r="G923" s="26" t="s">
        <v>55</v>
      </c>
      <c r="H923" s="26" t="s">
        <v>1774</v>
      </c>
      <c r="I923" s="179"/>
      <c r="R923" s="23" t="s">
        <v>1769</v>
      </c>
      <c r="Y923" s="165" t="s">
        <v>2939</v>
      </c>
      <c r="Z923" s="83" t="s">
        <v>62</v>
      </c>
    </row>
    <row r="924" spans="1:70" x14ac:dyDescent="0.2">
      <c r="A924" s="91">
        <v>5309</v>
      </c>
      <c r="B924" s="229" t="s">
        <v>1771</v>
      </c>
      <c r="C924" s="259" t="s">
        <v>1772</v>
      </c>
      <c r="D924" s="229" t="s">
        <v>1776</v>
      </c>
      <c r="E924" s="3" t="s">
        <v>1172</v>
      </c>
      <c r="F924" s="26" t="s">
        <v>102</v>
      </c>
      <c r="G924" s="26" t="s">
        <v>55</v>
      </c>
      <c r="H924" s="26" t="s">
        <v>1774</v>
      </c>
      <c r="I924" s="179"/>
      <c r="R924" s="23" t="s">
        <v>1737</v>
      </c>
      <c r="Y924" s="165" t="s">
        <v>2939</v>
      </c>
      <c r="Z924" s="83" t="s">
        <v>62</v>
      </c>
    </row>
    <row r="925" spans="1:70" x14ac:dyDescent="0.2">
      <c r="A925" s="91">
        <v>5433</v>
      </c>
      <c r="B925" s="229" t="s">
        <v>1771</v>
      </c>
      <c r="C925" s="259" t="s">
        <v>1772</v>
      </c>
      <c r="D925" s="229" t="s">
        <v>1777</v>
      </c>
      <c r="E925" s="3" t="s">
        <v>1172</v>
      </c>
      <c r="F925" s="26" t="s">
        <v>102</v>
      </c>
      <c r="G925" s="26" t="s">
        <v>55</v>
      </c>
      <c r="H925" s="26" t="s">
        <v>1774</v>
      </c>
      <c r="I925" s="179"/>
      <c r="R925" s="23" t="s">
        <v>1737</v>
      </c>
      <c r="Y925" s="165" t="s">
        <v>2939</v>
      </c>
      <c r="Z925" s="83" t="s">
        <v>62</v>
      </c>
    </row>
    <row r="926" spans="1:70" x14ac:dyDescent="0.2">
      <c r="A926" s="91">
        <v>5435</v>
      </c>
      <c r="B926" s="229" t="s">
        <v>1778</v>
      </c>
      <c r="C926" s="259" t="s">
        <v>1779</v>
      </c>
      <c r="D926" s="229" t="s">
        <v>1780</v>
      </c>
      <c r="E926" s="3" t="s">
        <v>1172</v>
      </c>
      <c r="F926" s="26" t="s">
        <v>102</v>
      </c>
      <c r="G926" s="26" t="s">
        <v>55</v>
      </c>
      <c r="H926" s="26" t="s">
        <v>193</v>
      </c>
      <c r="J926" s="22">
        <v>400</v>
      </c>
      <c r="L926" s="28" t="s">
        <v>57</v>
      </c>
      <c r="M926" s="22" t="s">
        <v>1781</v>
      </c>
      <c r="N926" s="22">
        <v>0</v>
      </c>
      <c r="O926" s="22" t="s">
        <v>59</v>
      </c>
      <c r="P926" s="22" t="s">
        <v>78</v>
      </c>
      <c r="Q926" s="23" t="s">
        <v>1782</v>
      </c>
      <c r="R926" s="23" t="s">
        <v>1769</v>
      </c>
      <c r="U926" s="23" t="s">
        <v>1783</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1778</v>
      </c>
      <c r="C927" s="259" t="s">
        <v>1779</v>
      </c>
      <c r="D927" s="229" t="s">
        <v>1784</v>
      </c>
      <c r="E927" s="3" t="s">
        <v>1172</v>
      </c>
      <c r="F927" s="26" t="s">
        <v>102</v>
      </c>
      <c r="G927" s="26" t="s">
        <v>55</v>
      </c>
      <c r="H927" s="26" t="s">
        <v>193</v>
      </c>
      <c r="J927" s="22">
        <v>400</v>
      </c>
      <c r="L927" s="28" t="s">
        <v>57</v>
      </c>
      <c r="M927" s="22" t="s">
        <v>1781</v>
      </c>
      <c r="N927" s="22">
        <v>0</v>
      </c>
      <c r="O927" s="22" t="s">
        <v>59</v>
      </c>
      <c r="P927" s="22" t="s">
        <v>78</v>
      </c>
      <c r="Q927" s="23" t="s">
        <v>1782</v>
      </c>
      <c r="R927" s="23" t="s">
        <v>1769</v>
      </c>
      <c r="U927" s="23" t="s">
        <v>1783</v>
      </c>
      <c r="V927" s="25" t="s">
        <v>642</v>
      </c>
      <c r="Y927" s="25" t="s">
        <v>1785</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1778</v>
      </c>
      <c r="C928" s="259" t="s">
        <v>1779</v>
      </c>
      <c r="D928" s="229" t="s">
        <v>1786</v>
      </c>
      <c r="E928" s="3" t="s">
        <v>1172</v>
      </c>
      <c r="F928" s="26" t="s">
        <v>102</v>
      </c>
      <c r="G928" s="26" t="s">
        <v>55</v>
      </c>
      <c r="H928" s="26" t="s">
        <v>193</v>
      </c>
      <c r="J928" s="22">
        <v>400</v>
      </c>
      <c r="L928" s="28" t="s">
        <v>57</v>
      </c>
      <c r="M928" s="22" t="s">
        <v>1781</v>
      </c>
      <c r="N928" s="22">
        <v>0</v>
      </c>
      <c r="O928" s="22" t="s">
        <v>59</v>
      </c>
      <c r="P928" s="22" t="s">
        <v>78</v>
      </c>
      <c r="R928" s="23" t="s">
        <v>1787</v>
      </c>
      <c r="U928" s="23" t="s">
        <v>1788</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1778</v>
      </c>
      <c r="C929" s="259" t="s">
        <v>1779</v>
      </c>
      <c r="D929" s="229" t="s">
        <v>1737</v>
      </c>
      <c r="E929" s="3" t="s">
        <v>1172</v>
      </c>
      <c r="F929" s="26" t="s">
        <v>102</v>
      </c>
      <c r="G929" s="26" t="s">
        <v>55</v>
      </c>
      <c r="H929" s="26" t="s">
        <v>193</v>
      </c>
      <c r="J929" s="22">
        <v>400</v>
      </c>
      <c r="L929" s="28" t="s">
        <v>57</v>
      </c>
      <c r="M929" s="22" t="s">
        <v>1781</v>
      </c>
      <c r="N929" s="22">
        <v>0</v>
      </c>
      <c r="O929" s="22" t="s">
        <v>59</v>
      </c>
      <c r="P929" s="22" t="s">
        <v>78</v>
      </c>
      <c r="R929" s="23" t="s">
        <v>1737</v>
      </c>
      <c r="U929" s="23" t="s">
        <v>1788</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1439</v>
      </c>
      <c r="C930" s="259" t="s">
        <v>1789</v>
      </c>
      <c r="D930" s="229" t="s">
        <v>1790</v>
      </c>
      <c r="E930" s="3" t="s">
        <v>1172</v>
      </c>
      <c r="F930" s="26" t="s">
        <v>102</v>
      </c>
      <c r="G930" s="26" t="s">
        <v>55</v>
      </c>
      <c r="H930" s="26" t="s">
        <v>193</v>
      </c>
      <c r="J930" s="22">
        <v>10</v>
      </c>
      <c r="L930" s="28" t="s">
        <v>57</v>
      </c>
      <c r="M930" s="22" t="s">
        <v>58</v>
      </c>
      <c r="N930" s="22">
        <v>0</v>
      </c>
      <c r="O930" s="22" t="s">
        <v>59</v>
      </c>
      <c r="P930" s="22" t="s">
        <v>78</v>
      </c>
      <c r="Q930" s="23" t="s">
        <v>1791</v>
      </c>
      <c r="R930" s="23" t="s">
        <v>1791</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1792</v>
      </c>
    </row>
    <row r="931" spans="1:70" x14ac:dyDescent="0.2">
      <c r="A931" s="91">
        <v>5440</v>
      </c>
      <c r="B931" s="229" t="s">
        <v>1439</v>
      </c>
      <c r="C931" s="259" t="s">
        <v>1789</v>
      </c>
      <c r="D931" s="229" t="s">
        <v>1793</v>
      </c>
      <c r="E931" s="3" t="s">
        <v>1172</v>
      </c>
      <c r="F931" s="26" t="s">
        <v>102</v>
      </c>
      <c r="G931" s="26" t="s">
        <v>55</v>
      </c>
      <c r="H931" s="26" t="s">
        <v>193</v>
      </c>
      <c r="J931" s="22">
        <v>25</v>
      </c>
      <c r="L931" s="28" t="s">
        <v>57</v>
      </c>
      <c r="M931" s="22" t="s">
        <v>58</v>
      </c>
      <c r="N931" s="22">
        <v>0</v>
      </c>
      <c r="O931" s="22" t="s">
        <v>59</v>
      </c>
      <c r="P931" s="22" t="s">
        <v>78</v>
      </c>
      <c r="Q931" s="23" t="s">
        <v>1791</v>
      </c>
      <c r="R931" s="23" t="s">
        <v>1791</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1792</v>
      </c>
    </row>
    <row r="932" spans="1:70" x14ac:dyDescent="0.2">
      <c r="A932" s="91">
        <v>5441</v>
      </c>
      <c r="B932" s="229" t="s">
        <v>1439</v>
      </c>
      <c r="C932" s="259" t="s">
        <v>1789</v>
      </c>
      <c r="D932" s="229" t="s">
        <v>1794</v>
      </c>
      <c r="E932" s="3" t="s">
        <v>1172</v>
      </c>
      <c r="F932" s="26" t="s">
        <v>102</v>
      </c>
      <c r="G932" s="26" t="s">
        <v>55</v>
      </c>
      <c r="H932" s="26" t="s">
        <v>193</v>
      </c>
      <c r="J932" s="22">
        <v>50</v>
      </c>
      <c r="L932" s="28" t="s">
        <v>57</v>
      </c>
      <c r="M932" s="22" t="s">
        <v>58</v>
      </c>
      <c r="N932" s="22">
        <v>0</v>
      </c>
      <c r="O932" s="22" t="s">
        <v>59</v>
      </c>
      <c r="P932" s="22" t="s">
        <v>78</v>
      </c>
      <c r="Q932" s="23" t="s">
        <v>1791</v>
      </c>
      <c r="R932" s="23" t="s">
        <v>1791</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1792</v>
      </c>
    </row>
    <row r="933" spans="1:70" x14ac:dyDescent="0.2">
      <c r="A933" s="91">
        <v>5442</v>
      </c>
      <c r="B933" s="229" t="s">
        <v>1439</v>
      </c>
      <c r="C933" s="259" t="s">
        <v>1789</v>
      </c>
      <c r="D933" s="229" t="s">
        <v>1795</v>
      </c>
      <c r="E933" s="3" t="s">
        <v>1172</v>
      </c>
      <c r="F933" s="26" t="s">
        <v>102</v>
      </c>
      <c r="G933" s="26" t="s">
        <v>55</v>
      </c>
      <c r="H933" s="26" t="s">
        <v>193</v>
      </c>
      <c r="J933" s="22">
        <v>100</v>
      </c>
      <c r="L933" s="28" t="s">
        <v>57</v>
      </c>
      <c r="M933" s="22" t="s">
        <v>58</v>
      </c>
      <c r="N933" s="22">
        <v>0</v>
      </c>
      <c r="O933" s="22" t="s">
        <v>59</v>
      </c>
      <c r="P933" s="22" t="s">
        <v>78</v>
      </c>
      <c r="Q933" s="23" t="s">
        <v>1791</v>
      </c>
      <c r="R933" s="23" t="s">
        <v>1791</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1792</v>
      </c>
    </row>
    <row r="934" spans="1:70" x14ac:dyDescent="0.2">
      <c r="A934" s="91">
        <v>5443</v>
      </c>
      <c r="B934" s="229" t="s">
        <v>1439</v>
      </c>
      <c r="C934" s="259" t="s">
        <v>1789</v>
      </c>
      <c r="D934" s="229" t="s">
        <v>1796</v>
      </c>
      <c r="E934" s="3" t="s">
        <v>1172</v>
      </c>
      <c r="F934" s="26" t="s">
        <v>102</v>
      </c>
      <c r="G934" s="26" t="s">
        <v>55</v>
      </c>
      <c r="H934" s="26" t="s">
        <v>193</v>
      </c>
      <c r="J934" s="22">
        <v>200</v>
      </c>
      <c r="L934" s="28" t="s">
        <v>57</v>
      </c>
      <c r="M934" s="22" t="s">
        <v>58</v>
      </c>
      <c r="N934" s="22">
        <v>0</v>
      </c>
      <c r="O934" s="22" t="s">
        <v>59</v>
      </c>
      <c r="P934" s="22" t="s">
        <v>78</v>
      </c>
      <c r="Q934" s="23" t="s">
        <v>1791</v>
      </c>
      <c r="R934" s="23" t="s">
        <v>1791</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1792</v>
      </c>
    </row>
    <row r="935" spans="1:70" x14ac:dyDescent="0.2">
      <c r="A935" s="91">
        <v>5444</v>
      </c>
      <c r="B935" s="229" t="s">
        <v>1439</v>
      </c>
      <c r="C935" s="259" t="s">
        <v>1789</v>
      </c>
      <c r="D935" s="229" t="s">
        <v>1797</v>
      </c>
      <c r="E935" s="3" t="s">
        <v>1172</v>
      </c>
      <c r="F935" s="26" t="s">
        <v>102</v>
      </c>
      <c r="G935" s="26" t="s">
        <v>55</v>
      </c>
      <c r="H935" s="26" t="s">
        <v>193</v>
      </c>
      <c r="J935" s="22">
        <v>400</v>
      </c>
      <c r="L935" s="28" t="s">
        <v>57</v>
      </c>
      <c r="M935" s="22" t="s">
        <v>58</v>
      </c>
      <c r="N935" s="22">
        <v>0</v>
      </c>
      <c r="O935" s="22" t="s">
        <v>59</v>
      </c>
      <c r="P935" s="22" t="s">
        <v>78</v>
      </c>
      <c r="Q935" s="23" t="s">
        <v>1791</v>
      </c>
      <c r="R935" s="23" t="s">
        <v>1791</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1792</v>
      </c>
    </row>
    <row r="936" spans="1:70" x14ac:dyDescent="0.2">
      <c r="A936" s="91">
        <v>5445</v>
      </c>
      <c r="B936" s="229" t="s">
        <v>1439</v>
      </c>
      <c r="C936" s="259" t="s">
        <v>1789</v>
      </c>
      <c r="D936" s="229" t="s">
        <v>1798</v>
      </c>
      <c r="E936" s="3" t="s">
        <v>1172</v>
      </c>
      <c r="F936" s="26" t="s">
        <v>102</v>
      </c>
      <c r="G936" s="26" t="s">
        <v>55</v>
      </c>
      <c r="H936" s="26" t="s">
        <v>193</v>
      </c>
      <c r="J936" s="22">
        <v>800</v>
      </c>
      <c r="L936" s="28" t="s">
        <v>57</v>
      </c>
      <c r="M936" s="22" t="s">
        <v>58</v>
      </c>
      <c r="N936" s="22">
        <v>0</v>
      </c>
      <c r="O936" s="22" t="s">
        <v>59</v>
      </c>
      <c r="P936" s="22" t="s">
        <v>78</v>
      </c>
      <c r="Q936" s="23" t="s">
        <v>1791</v>
      </c>
      <c r="R936" s="23" t="s">
        <v>1791</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1792</v>
      </c>
    </row>
    <row r="937" spans="1:70" x14ac:dyDescent="0.2">
      <c r="A937" s="91">
        <v>5446</v>
      </c>
      <c r="B937" s="229" t="s">
        <v>1439</v>
      </c>
      <c r="C937" s="259" t="s">
        <v>1789</v>
      </c>
      <c r="D937" s="229" t="s">
        <v>1799</v>
      </c>
      <c r="E937" s="3" t="s">
        <v>1172</v>
      </c>
      <c r="F937" s="26" t="s">
        <v>102</v>
      </c>
      <c r="G937" s="26" t="s">
        <v>55</v>
      </c>
      <c r="H937" s="26" t="s">
        <v>193</v>
      </c>
      <c r="J937" s="22">
        <v>1200</v>
      </c>
      <c r="L937" s="28" t="s">
        <v>57</v>
      </c>
      <c r="M937" s="22" t="s">
        <v>58</v>
      </c>
      <c r="N937" s="22">
        <v>0</v>
      </c>
      <c r="O937" s="22" t="s">
        <v>59</v>
      </c>
      <c r="P937" s="22" t="s">
        <v>78</v>
      </c>
      <c r="Q937" s="23" t="s">
        <v>1791</v>
      </c>
      <c r="R937" s="23" t="s">
        <v>1791</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1792</v>
      </c>
    </row>
    <row r="938" spans="1:70" x14ac:dyDescent="0.2">
      <c r="A938" s="91">
        <v>5447</v>
      </c>
      <c r="B938" s="229" t="s">
        <v>1439</v>
      </c>
      <c r="C938" s="259" t="s">
        <v>1789</v>
      </c>
      <c r="D938" s="229" t="s">
        <v>1800</v>
      </c>
      <c r="E938" s="3" t="s">
        <v>1172</v>
      </c>
      <c r="F938" s="26" t="s">
        <v>102</v>
      </c>
      <c r="G938" s="26" t="s">
        <v>55</v>
      </c>
      <c r="H938" s="26" t="s">
        <v>193</v>
      </c>
      <c r="J938" s="22">
        <v>1600</v>
      </c>
      <c r="L938" s="28" t="s">
        <v>57</v>
      </c>
      <c r="M938" s="22" t="s">
        <v>58</v>
      </c>
      <c r="N938" s="22">
        <v>0</v>
      </c>
      <c r="O938" s="22" t="s">
        <v>59</v>
      </c>
      <c r="P938" s="22" t="s">
        <v>78</v>
      </c>
      <c r="Q938" s="23" t="s">
        <v>1791</v>
      </c>
      <c r="R938" s="23" t="s">
        <v>1791</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1792</v>
      </c>
    </row>
    <row r="939" spans="1:70" x14ac:dyDescent="0.2">
      <c r="A939" s="91">
        <v>5448</v>
      </c>
      <c r="B939" s="229" t="s">
        <v>1801</v>
      </c>
      <c r="C939" s="259" t="s">
        <v>1802</v>
      </c>
      <c r="D939" s="229" t="s">
        <v>1803</v>
      </c>
      <c r="E939" s="3" t="s">
        <v>1172</v>
      </c>
      <c r="F939" s="26" t="s">
        <v>102</v>
      </c>
      <c r="G939" s="26" t="s">
        <v>55</v>
      </c>
      <c r="H939" s="26" t="s">
        <v>193</v>
      </c>
      <c r="J939" s="22">
        <v>400</v>
      </c>
      <c r="L939" s="28" t="s">
        <v>57</v>
      </c>
      <c r="M939" s="22" t="s">
        <v>58</v>
      </c>
      <c r="N939" s="22">
        <v>0</v>
      </c>
      <c r="O939" s="22" t="s">
        <v>59</v>
      </c>
      <c r="P939" s="22" t="s">
        <v>78</v>
      </c>
      <c r="Q939" s="23" t="s">
        <v>1791</v>
      </c>
      <c r="R939" s="23" t="s">
        <v>1791</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1804</v>
      </c>
    </row>
    <row r="940" spans="1:70" x14ac:dyDescent="0.2">
      <c r="A940" s="91">
        <v>5449</v>
      </c>
      <c r="B940" s="229" t="s">
        <v>1771</v>
      </c>
      <c r="C940" s="259" t="s">
        <v>1772</v>
      </c>
      <c r="D940" s="229" t="s">
        <v>1805</v>
      </c>
      <c r="E940" s="3" t="s">
        <v>1172</v>
      </c>
      <c r="F940" s="26" t="s">
        <v>102</v>
      </c>
      <c r="G940" s="26" t="s">
        <v>55</v>
      </c>
      <c r="H940" s="26" t="s">
        <v>193</v>
      </c>
      <c r="J940" s="22">
        <v>400</v>
      </c>
      <c r="L940" s="28" t="s">
        <v>57</v>
      </c>
      <c r="M940" s="22" t="s">
        <v>58</v>
      </c>
      <c r="N940" s="22">
        <v>0</v>
      </c>
      <c r="O940" s="22" t="s">
        <v>59</v>
      </c>
      <c r="P940" s="22" t="s">
        <v>78</v>
      </c>
      <c r="R940" s="23" t="s">
        <v>1737</v>
      </c>
      <c r="V940" s="25" t="s">
        <v>642</v>
      </c>
      <c r="Y940" s="25" t="s">
        <v>1806</v>
      </c>
      <c r="Z940" s="83" t="s">
        <v>62</v>
      </c>
      <c r="AA940" s="6">
        <v>21</v>
      </c>
      <c r="AD940" s="5" t="s">
        <v>79</v>
      </c>
      <c r="AE940" s="5" t="s">
        <v>334</v>
      </c>
      <c r="AI940" s="5">
        <v>8</v>
      </c>
      <c r="AJ940" s="5">
        <v>18</v>
      </c>
      <c r="BQ940" s="6" t="s">
        <v>213</v>
      </c>
      <c r="BR940" s="5" t="s">
        <v>1807</v>
      </c>
    </row>
    <row r="941" spans="1:70" x14ac:dyDescent="0.2">
      <c r="A941" s="91">
        <v>5450</v>
      </c>
      <c r="B941" s="229" t="s">
        <v>1801</v>
      </c>
      <c r="C941" s="259" t="s">
        <v>1802</v>
      </c>
      <c r="D941" s="229" t="s">
        <v>1808</v>
      </c>
      <c r="E941" s="3" t="s">
        <v>1172</v>
      </c>
      <c r="F941" s="26" t="s">
        <v>102</v>
      </c>
      <c r="G941" s="26" t="s">
        <v>55</v>
      </c>
      <c r="H941" s="26" t="s">
        <v>1809</v>
      </c>
      <c r="I941" s="26" t="s">
        <v>1810</v>
      </c>
    </row>
    <row r="942" spans="1:70" s="122" customFormat="1" x14ac:dyDescent="0.2">
      <c r="A942" s="91">
        <v>5451</v>
      </c>
      <c r="B942" s="229" t="s">
        <v>1801</v>
      </c>
      <c r="C942" s="259" t="s">
        <v>1802</v>
      </c>
      <c r="D942" s="229" t="s">
        <v>1811</v>
      </c>
      <c r="E942" s="123" t="s">
        <v>1172</v>
      </c>
      <c r="F942" s="179" t="s">
        <v>102</v>
      </c>
      <c r="G942" s="179" t="s">
        <v>55</v>
      </c>
      <c r="H942" s="179" t="s">
        <v>295</v>
      </c>
      <c r="I942" s="179" t="s">
        <v>1810</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2828</v>
      </c>
      <c r="E943" s="3" t="s">
        <v>355</v>
      </c>
      <c r="F943" s="26" t="s">
        <v>102</v>
      </c>
      <c r="G943" s="26" t="s">
        <v>55</v>
      </c>
      <c r="H943" s="26" t="s">
        <v>1951</v>
      </c>
      <c r="J943" s="22">
        <v>500</v>
      </c>
      <c r="L943" s="28" t="s">
        <v>57</v>
      </c>
      <c r="M943" s="22" t="s">
        <v>58</v>
      </c>
      <c r="N943" s="22" t="s">
        <v>2829</v>
      </c>
      <c r="O943" s="22" t="s">
        <v>59</v>
      </c>
      <c r="P943" s="22" t="s">
        <v>1116</v>
      </c>
      <c r="R943" s="23" t="s">
        <v>2830</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2831</v>
      </c>
      <c r="E944" s="3" t="s">
        <v>355</v>
      </c>
      <c r="F944" s="26" t="s">
        <v>102</v>
      </c>
      <c r="G944" s="26" t="s">
        <v>75</v>
      </c>
      <c r="H944" s="26" t="s">
        <v>429</v>
      </c>
      <c r="J944" s="22">
        <v>500</v>
      </c>
      <c r="L944" s="28" t="s">
        <v>57</v>
      </c>
      <c r="M944" s="22" t="s">
        <v>58</v>
      </c>
      <c r="N944" s="22" t="s">
        <v>2829</v>
      </c>
      <c r="O944" s="22" t="s">
        <v>59</v>
      </c>
      <c r="P944" s="22" t="s">
        <v>1116</v>
      </c>
      <c r="R944" s="23" t="s">
        <v>2830</v>
      </c>
      <c r="V944" s="25" t="s">
        <v>61</v>
      </c>
      <c r="Z944" s="83" t="s">
        <v>62</v>
      </c>
      <c r="AA944" s="6">
        <v>1</v>
      </c>
      <c r="BQ944" s="6" t="s">
        <v>353</v>
      </c>
      <c r="BR944" s="5" t="s">
        <v>822</v>
      </c>
    </row>
    <row r="945" spans="1:70" x14ac:dyDescent="0.2">
      <c r="A945" s="91">
        <v>808</v>
      </c>
      <c r="B945" s="229" t="s">
        <v>819</v>
      </c>
      <c r="C945" s="259" t="s">
        <v>820</v>
      </c>
      <c r="D945" s="229" t="s">
        <v>2832</v>
      </c>
      <c r="E945" s="3" t="s">
        <v>355</v>
      </c>
      <c r="F945" s="26" t="s">
        <v>102</v>
      </c>
      <c r="G945" s="26" t="s">
        <v>75</v>
      </c>
      <c r="H945" s="26" t="s">
        <v>429</v>
      </c>
      <c r="J945" s="22">
        <v>500</v>
      </c>
      <c r="L945" s="28" t="s">
        <v>57</v>
      </c>
      <c r="M945" s="22" t="s">
        <v>58</v>
      </c>
      <c r="N945" s="22" t="s">
        <v>2829</v>
      </c>
      <c r="O945" s="22" t="s">
        <v>59</v>
      </c>
      <c r="P945" s="22" t="s">
        <v>1116</v>
      </c>
      <c r="R945" s="23" t="s">
        <v>2830</v>
      </c>
      <c r="V945" s="25" t="s">
        <v>61</v>
      </c>
      <c r="Z945" s="83" t="s">
        <v>62</v>
      </c>
      <c r="AA945" s="6">
        <v>1</v>
      </c>
      <c r="BQ945" s="6" t="s">
        <v>353</v>
      </c>
      <c r="BR945" s="5" t="s">
        <v>822</v>
      </c>
    </row>
    <row r="946" spans="1:70" x14ac:dyDescent="0.2">
      <c r="A946" s="91">
        <v>809</v>
      </c>
      <c r="B946" s="229" t="s">
        <v>819</v>
      </c>
      <c r="C946" s="259" t="s">
        <v>820</v>
      </c>
      <c r="D946" s="229" t="s">
        <v>2833</v>
      </c>
      <c r="E946" s="3" t="s">
        <v>355</v>
      </c>
      <c r="F946" s="26" t="s">
        <v>102</v>
      </c>
      <c r="G946" s="26" t="s">
        <v>75</v>
      </c>
      <c r="H946" s="26" t="s">
        <v>429</v>
      </c>
      <c r="J946" s="22">
        <v>500</v>
      </c>
      <c r="L946" s="28" t="s">
        <v>57</v>
      </c>
      <c r="M946" s="22" t="s">
        <v>58</v>
      </c>
      <c r="N946" s="22" t="s">
        <v>2829</v>
      </c>
      <c r="O946" s="22" t="s">
        <v>59</v>
      </c>
      <c r="P946" s="22" t="s">
        <v>1116</v>
      </c>
      <c r="R946" s="23" t="s">
        <v>2830</v>
      </c>
      <c r="V946" s="25" t="s">
        <v>61</v>
      </c>
      <c r="Z946" s="83" t="s">
        <v>62</v>
      </c>
      <c r="AA946" s="6">
        <v>1</v>
      </c>
      <c r="BQ946" s="6" t="s">
        <v>353</v>
      </c>
      <c r="BR946" s="5" t="s">
        <v>822</v>
      </c>
    </row>
    <row r="947" spans="1:70" x14ac:dyDescent="0.2">
      <c r="A947" s="91">
        <v>810</v>
      </c>
      <c r="B947" s="229" t="s">
        <v>819</v>
      </c>
      <c r="C947" s="259" t="s">
        <v>820</v>
      </c>
      <c r="D947" s="229" t="s">
        <v>2834</v>
      </c>
      <c r="E947" s="3" t="s">
        <v>355</v>
      </c>
      <c r="F947" s="26" t="s">
        <v>102</v>
      </c>
      <c r="G947" s="26" t="s">
        <v>75</v>
      </c>
      <c r="H947" s="26" t="s">
        <v>429</v>
      </c>
      <c r="J947" s="22">
        <v>500</v>
      </c>
      <c r="L947" s="28" t="s">
        <v>57</v>
      </c>
      <c r="M947" s="22" t="s">
        <v>58</v>
      </c>
      <c r="N947" s="22" t="s">
        <v>2829</v>
      </c>
      <c r="O947" s="22" t="s">
        <v>59</v>
      </c>
      <c r="P947" s="22" t="s">
        <v>1116</v>
      </c>
      <c r="R947" s="23" t="s">
        <v>2830</v>
      </c>
      <c r="V947" s="25" t="s">
        <v>61</v>
      </c>
      <c r="Z947" s="83" t="s">
        <v>62</v>
      </c>
      <c r="AA947" s="6">
        <v>1</v>
      </c>
      <c r="BQ947" s="6" t="s">
        <v>353</v>
      </c>
      <c r="BR947" s="5" t="s">
        <v>822</v>
      </c>
    </row>
    <row r="948" spans="1:70" x14ac:dyDescent="0.2">
      <c r="A948" s="91">
        <v>811</v>
      </c>
      <c r="B948" s="229" t="s">
        <v>819</v>
      </c>
      <c r="C948" s="259" t="s">
        <v>820</v>
      </c>
      <c r="D948" s="229" t="s">
        <v>2835</v>
      </c>
      <c r="E948" s="3" t="s">
        <v>355</v>
      </c>
      <c r="F948" s="26" t="s">
        <v>102</v>
      </c>
      <c r="G948" s="26" t="s">
        <v>75</v>
      </c>
      <c r="H948" s="26" t="s">
        <v>429</v>
      </c>
      <c r="J948" s="22">
        <v>500</v>
      </c>
      <c r="L948" s="28" t="s">
        <v>57</v>
      </c>
      <c r="M948" s="22" t="s">
        <v>58</v>
      </c>
      <c r="N948" s="22" t="s">
        <v>2829</v>
      </c>
      <c r="O948" s="22" t="s">
        <v>59</v>
      </c>
      <c r="P948" s="22" t="s">
        <v>1116</v>
      </c>
      <c r="R948" s="23" t="s">
        <v>2830</v>
      </c>
      <c r="V948" s="25" t="s">
        <v>61</v>
      </c>
      <c r="Z948" s="83" t="s">
        <v>62</v>
      </c>
      <c r="AA948" s="6">
        <v>1</v>
      </c>
      <c r="BQ948" s="6" t="s">
        <v>353</v>
      </c>
      <c r="BR948" s="5" t="s">
        <v>822</v>
      </c>
    </row>
    <row r="949" spans="1:70" x14ac:dyDescent="0.2">
      <c r="A949" s="91">
        <v>812</v>
      </c>
      <c r="B949" s="229" t="s">
        <v>819</v>
      </c>
      <c r="C949" s="259" t="s">
        <v>820</v>
      </c>
      <c r="D949" s="229" t="s">
        <v>2836</v>
      </c>
      <c r="E949" s="3" t="s">
        <v>355</v>
      </c>
      <c r="F949" s="26" t="s">
        <v>102</v>
      </c>
      <c r="G949" s="26" t="s">
        <v>75</v>
      </c>
      <c r="H949" s="26" t="s">
        <v>429</v>
      </c>
      <c r="J949" s="22">
        <v>500</v>
      </c>
      <c r="L949" s="28" t="s">
        <v>57</v>
      </c>
      <c r="M949" s="22" t="s">
        <v>58</v>
      </c>
      <c r="N949" s="22" t="s">
        <v>2829</v>
      </c>
      <c r="O949" s="22" t="s">
        <v>59</v>
      </c>
      <c r="P949" s="22" t="s">
        <v>1116</v>
      </c>
      <c r="R949" s="23" t="s">
        <v>2830</v>
      </c>
      <c r="V949" s="25" t="s">
        <v>61</v>
      </c>
      <c r="Z949" s="83" t="s">
        <v>62</v>
      </c>
      <c r="AA949" s="6">
        <v>1</v>
      </c>
      <c r="BQ949" s="6" t="s">
        <v>353</v>
      </c>
      <c r="BR949" s="5" t="s">
        <v>822</v>
      </c>
    </row>
    <row r="950" spans="1:70" x14ac:dyDescent="0.2">
      <c r="A950" s="91">
        <v>813</v>
      </c>
      <c r="B950" s="229" t="s">
        <v>819</v>
      </c>
      <c r="C950" s="259" t="s">
        <v>820</v>
      </c>
      <c r="D950" s="229" t="s">
        <v>2837</v>
      </c>
      <c r="E950" s="3" t="s">
        <v>355</v>
      </c>
      <c r="F950" s="26" t="s">
        <v>102</v>
      </c>
      <c r="G950" s="26" t="s">
        <v>55</v>
      </c>
      <c r="H950" s="26" t="s">
        <v>1951</v>
      </c>
      <c r="J950" s="22">
        <v>500</v>
      </c>
      <c r="L950" s="28" t="s">
        <v>57</v>
      </c>
      <c r="M950" s="22" t="s">
        <v>58</v>
      </c>
      <c r="N950" s="22" t="s">
        <v>2829</v>
      </c>
      <c r="O950" s="22" t="s">
        <v>59</v>
      </c>
      <c r="P950" s="22" t="s">
        <v>1116</v>
      </c>
      <c r="R950" s="23" t="s">
        <v>2830</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2838</v>
      </c>
      <c r="D951" s="229" t="s">
        <v>2839</v>
      </c>
      <c r="E951" s="3" t="s">
        <v>355</v>
      </c>
      <c r="F951" s="26" t="s">
        <v>102</v>
      </c>
      <c r="G951" s="26" t="s">
        <v>75</v>
      </c>
      <c r="H951" s="26" t="s">
        <v>429</v>
      </c>
      <c r="J951" s="22">
        <v>500</v>
      </c>
      <c r="L951" s="28" t="s">
        <v>57</v>
      </c>
      <c r="M951" s="22" t="s">
        <v>58</v>
      </c>
      <c r="N951" s="22" t="s">
        <v>2829</v>
      </c>
      <c r="O951" s="22" t="s">
        <v>59</v>
      </c>
      <c r="P951" s="22" t="s">
        <v>1116</v>
      </c>
      <c r="R951" s="23" t="s">
        <v>2830</v>
      </c>
      <c r="V951" s="25" t="s">
        <v>61</v>
      </c>
      <c r="Z951" s="83" t="s">
        <v>62</v>
      </c>
      <c r="AA951" s="6">
        <v>1</v>
      </c>
      <c r="BQ951" s="6" t="s">
        <v>353</v>
      </c>
      <c r="BR951" s="5" t="s">
        <v>822</v>
      </c>
    </row>
    <row r="952" spans="1:70" x14ac:dyDescent="0.2">
      <c r="A952" s="91">
        <v>815</v>
      </c>
      <c r="B952" s="229" t="s">
        <v>819</v>
      </c>
      <c r="C952" s="259" t="s">
        <v>2840</v>
      </c>
      <c r="D952" s="229" t="s">
        <v>2841</v>
      </c>
      <c r="E952" s="3" t="s">
        <v>355</v>
      </c>
      <c r="F952" s="26" t="s">
        <v>102</v>
      </c>
      <c r="G952" s="26" t="s">
        <v>75</v>
      </c>
      <c r="H952" s="26" t="s">
        <v>429</v>
      </c>
      <c r="J952" s="22">
        <v>500</v>
      </c>
      <c r="L952" s="28" t="s">
        <v>57</v>
      </c>
      <c r="M952" s="22" t="s">
        <v>58</v>
      </c>
      <c r="N952" s="22" t="s">
        <v>2829</v>
      </c>
      <c r="O952" s="22" t="s">
        <v>59</v>
      </c>
      <c r="P952" s="22" t="s">
        <v>1116</v>
      </c>
      <c r="R952" s="23" t="s">
        <v>2830</v>
      </c>
      <c r="V952" s="25" t="s">
        <v>61</v>
      </c>
      <c r="Z952" s="83" t="s">
        <v>62</v>
      </c>
      <c r="AA952" s="6">
        <v>1</v>
      </c>
      <c r="BQ952" s="6" t="s">
        <v>353</v>
      </c>
      <c r="BR952" s="5" t="s">
        <v>822</v>
      </c>
    </row>
    <row r="953" spans="1:70" x14ac:dyDescent="0.2">
      <c r="A953" s="91">
        <v>816</v>
      </c>
      <c r="B953" s="229" t="s">
        <v>819</v>
      </c>
      <c r="C953" s="259" t="s">
        <v>2842</v>
      </c>
      <c r="D953" s="229" t="s">
        <v>2843</v>
      </c>
      <c r="E953" s="3" t="s">
        <v>355</v>
      </c>
      <c r="F953" s="26" t="s">
        <v>102</v>
      </c>
      <c r="G953" s="26" t="s">
        <v>75</v>
      </c>
      <c r="H953" s="26" t="s">
        <v>429</v>
      </c>
      <c r="J953" s="22">
        <v>500</v>
      </c>
      <c r="L953" s="28" t="s">
        <v>57</v>
      </c>
      <c r="M953" s="22" t="s">
        <v>58</v>
      </c>
      <c r="N953" s="22" t="s">
        <v>2829</v>
      </c>
      <c r="O953" s="22" t="s">
        <v>59</v>
      </c>
      <c r="P953" s="22" t="s">
        <v>1116</v>
      </c>
      <c r="R953" s="23" t="s">
        <v>2830</v>
      </c>
      <c r="V953" s="25" t="s">
        <v>61</v>
      </c>
      <c r="Z953" s="83" t="s">
        <v>62</v>
      </c>
      <c r="AA953" s="6">
        <v>1</v>
      </c>
      <c r="BQ953" s="6" t="s">
        <v>353</v>
      </c>
      <c r="BR953" s="5" t="s">
        <v>822</v>
      </c>
    </row>
    <row r="954" spans="1:70" x14ac:dyDescent="0.2">
      <c r="A954" s="91">
        <v>817</v>
      </c>
      <c r="B954" s="229" t="s">
        <v>819</v>
      </c>
      <c r="C954" s="259" t="s">
        <v>2844</v>
      </c>
      <c r="D954" s="229" t="s">
        <v>2845</v>
      </c>
      <c r="E954" s="3" t="s">
        <v>355</v>
      </c>
      <c r="F954" s="26" t="s">
        <v>102</v>
      </c>
      <c r="G954" s="26" t="s">
        <v>75</v>
      </c>
      <c r="H954" s="26" t="s">
        <v>429</v>
      </c>
      <c r="J954" s="22">
        <v>500</v>
      </c>
      <c r="L954" s="28" t="s">
        <v>57</v>
      </c>
      <c r="M954" s="22" t="s">
        <v>58</v>
      </c>
      <c r="N954" s="22" t="s">
        <v>2829</v>
      </c>
      <c r="O954" s="22" t="s">
        <v>59</v>
      </c>
      <c r="P954" s="22" t="s">
        <v>1116</v>
      </c>
      <c r="R954" s="23" t="s">
        <v>2830</v>
      </c>
      <c r="V954" s="25" t="s">
        <v>61</v>
      </c>
      <c r="Z954" s="83" t="s">
        <v>62</v>
      </c>
      <c r="AA954" s="6">
        <v>1</v>
      </c>
      <c r="BQ954" s="6" t="s">
        <v>353</v>
      </c>
      <c r="BR954" s="5" t="s">
        <v>822</v>
      </c>
    </row>
    <row r="955" spans="1:70" x14ac:dyDescent="0.2">
      <c r="A955" s="91">
        <v>818</v>
      </c>
      <c r="B955" s="229" t="s">
        <v>819</v>
      </c>
      <c r="C955" s="259" t="s">
        <v>2846</v>
      </c>
      <c r="D955" s="229" t="s">
        <v>2847</v>
      </c>
      <c r="E955" s="3" t="s">
        <v>355</v>
      </c>
      <c r="F955" s="26" t="s">
        <v>102</v>
      </c>
      <c r="G955" s="26" t="s">
        <v>75</v>
      </c>
      <c r="H955" s="26" t="s">
        <v>429</v>
      </c>
      <c r="J955" s="22">
        <v>500</v>
      </c>
      <c r="L955" s="28" t="s">
        <v>57</v>
      </c>
      <c r="M955" s="22" t="s">
        <v>58</v>
      </c>
      <c r="N955" s="22" t="s">
        <v>2829</v>
      </c>
      <c r="O955" s="22" t="s">
        <v>59</v>
      </c>
      <c r="P955" s="22" t="s">
        <v>1116</v>
      </c>
      <c r="R955" s="23" t="s">
        <v>2830</v>
      </c>
      <c r="V955" s="25" t="s">
        <v>61</v>
      </c>
      <c r="Z955" s="83" t="s">
        <v>62</v>
      </c>
      <c r="AA955" s="6">
        <v>1</v>
      </c>
      <c r="BQ955" s="6" t="s">
        <v>353</v>
      </c>
      <c r="BR955" s="5" t="s">
        <v>822</v>
      </c>
    </row>
    <row r="956" spans="1:70" x14ac:dyDescent="0.2">
      <c r="A956" s="91">
        <v>819</v>
      </c>
      <c r="B956" s="229" t="s">
        <v>819</v>
      </c>
      <c r="C956" s="259" t="s">
        <v>2848</v>
      </c>
      <c r="D956" s="229" t="s">
        <v>2849</v>
      </c>
      <c r="E956" s="3" t="s">
        <v>355</v>
      </c>
      <c r="F956" s="26" t="s">
        <v>102</v>
      </c>
      <c r="G956" s="26" t="s">
        <v>75</v>
      </c>
      <c r="H956" s="26" t="s">
        <v>429</v>
      </c>
      <c r="J956" s="22">
        <v>500</v>
      </c>
      <c r="L956" s="28" t="s">
        <v>57</v>
      </c>
      <c r="M956" s="22" t="s">
        <v>58</v>
      </c>
      <c r="N956" s="22" t="s">
        <v>2829</v>
      </c>
      <c r="O956" s="22" t="s">
        <v>59</v>
      </c>
      <c r="P956" s="22" t="s">
        <v>1116</v>
      </c>
      <c r="R956" s="23" t="s">
        <v>2830</v>
      </c>
      <c r="V956" s="25" t="s">
        <v>61</v>
      </c>
      <c r="Z956" s="83" t="s">
        <v>62</v>
      </c>
      <c r="AA956" s="6">
        <v>1</v>
      </c>
      <c r="BQ956" s="6" t="s">
        <v>353</v>
      </c>
      <c r="BR956" s="5" t="s">
        <v>822</v>
      </c>
    </row>
    <row r="957" spans="1:70" x14ac:dyDescent="0.2">
      <c r="A957" s="91">
        <v>820</v>
      </c>
      <c r="B957" s="229" t="s">
        <v>819</v>
      </c>
      <c r="C957" s="259" t="s">
        <v>2850</v>
      </c>
      <c r="D957" s="229" t="s">
        <v>2851</v>
      </c>
      <c r="E957" s="3" t="s">
        <v>355</v>
      </c>
      <c r="F957" s="26" t="s">
        <v>102</v>
      </c>
      <c r="G957" s="26" t="s">
        <v>75</v>
      </c>
      <c r="H957" s="26" t="s">
        <v>429</v>
      </c>
      <c r="J957" s="22">
        <v>500</v>
      </c>
      <c r="L957" s="28" t="s">
        <v>57</v>
      </c>
      <c r="M957" s="22" t="s">
        <v>58</v>
      </c>
      <c r="N957" s="22" t="s">
        <v>2829</v>
      </c>
      <c r="O957" s="22" t="s">
        <v>59</v>
      </c>
      <c r="P957" s="22" t="s">
        <v>1116</v>
      </c>
      <c r="R957" s="23" t="s">
        <v>2830</v>
      </c>
      <c r="V957" s="25" t="s">
        <v>61</v>
      </c>
      <c r="Z957" s="83" t="s">
        <v>62</v>
      </c>
      <c r="AA957" s="6">
        <v>1</v>
      </c>
      <c r="BQ957" s="6" t="s">
        <v>353</v>
      </c>
      <c r="BR957" s="5" t="s">
        <v>822</v>
      </c>
    </row>
    <row r="958" spans="1:70" x14ac:dyDescent="0.2">
      <c r="A958" s="91">
        <v>821</v>
      </c>
      <c r="B958" s="229" t="s">
        <v>819</v>
      </c>
      <c r="C958" s="259" t="s">
        <v>2852</v>
      </c>
      <c r="D958" s="229" t="s">
        <v>2853</v>
      </c>
      <c r="E958" s="3" t="s">
        <v>355</v>
      </c>
      <c r="F958" s="26" t="s">
        <v>102</v>
      </c>
      <c r="G958" s="26" t="s">
        <v>75</v>
      </c>
      <c r="H958" s="26" t="s">
        <v>429</v>
      </c>
      <c r="J958" s="22">
        <v>500</v>
      </c>
      <c r="L958" s="28" t="s">
        <v>57</v>
      </c>
      <c r="M958" s="22" t="s">
        <v>58</v>
      </c>
      <c r="N958" s="22" t="s">
        <v>2829</v>
      </c>
      <c r="O958" s="22" t="s">
        <v>59</v>
      </c>
      <c r="P958" s="22" t="s">
        <v>1116</v>
      </c>
      <c r="R958" s="23" t="s">
        <v>2830</v>
      </c>
      <c r="V958" s="25" t="s">
        <v>61</v>
      </c>
      <c r="Z958" s="83" t="s">
        <v>62</v>
      </c>
      <c r="AA958" s="6">
        <v>1</v>
      </c>
      <c r="BQ958" s="6" t="s">
        <v>353</v>
      </c>
      <c r="BR958" s="5" t="s">
        <v>822</v>
      </c>
    </row>
    <row r="959" spans="1:70" x14ac:dyDescent="0.2">
      <c r="A959" s="91">
        <v>822</v>
      </c>
      <c r="B959" s="229" t="s">
        <v>819</v>
      </c>
      <c r="C959" s="259" t="s">
        <v>2854</v>
      </c>
      <c r="D959" s="229" t="s">
        <v>2855</v>
      </c>
      <c r="E959" s="3" t="s">
        <v>355</v>
      </c>
      <c r="F959" s="26" t="s">
        <v>102</v>
      </c>
      <c r="G959" s="26" t="s">
        <v>75</v>
      </c>
      <c r="H959" s="26" t="s">
        <v>429</v>
      </c>
      <c r="J959" s="22">
        <v>500</v>
      </c>
      <c r="L959" s="28" t="s">
        <v>57</v>
      </c>
      <c r="M959" s="22" t="s">
        <v>58</v>
      </c>
      <c r="N959" s="22" t="s">
        <v>2829</v>
      </c>
      <c r="O959" s="22" t="s">
        <v>59</v>
      </c>
      <c r="P959" s="22" t="s">
        <v>1116</v>
      </c>
      <c r="R959" s="23" t="s">
        <v>2830</v>
      </c>
      <c r="V959" s="25" t="s">
        <v>61</v>
      </c>
      <c r="Z959" s="83" t="s">
        <v>62</v>
      </c>
      <c r="AA959" s="6">
        <v>1</v>
      </c>
      <c r="BQ959" s="6" t="s">
        <v>353</v>
      </c>
      <c r="BR959" s="5" t="s">
        <v>822</v>
      </c>
    </row>
    <row r="960" spans="1:70" x14ac:dyDescent="0.2">
      <c r="A960" s="91">
        <v>823</v>
      </c>
      <c r="B960" s="229" t="s">
        <v>819</v>
      </c>
      <c r="C960" s="259" t="s">
        <v>2856</v>
      </c>
      <c r="D960" s="229" t="s">
        <v>2857</v>
      </c>
      <c r="E960" s="3" t="s">
        <v>355</v>
      </c>
      <c r="F960" s="26" t="s">
        <v>102</v>
      </c>
      <c r="G960" s="26" t="s">
        <v>75</v>
      </c>
      <c r="H960" s="26" t="s">
        <v>429</v>
      </c>
      <c r="J960" s="22">
        <v>500</v>
      </c>
      <c r="L960" s="28" t="s">
        <v>57</v>
      </c>
      <c r="M960" s="22" t="s">
        <v>58</v>
      </c>
      <c r="N960" s="22" t="s">
        <v>2829</v>
      </c>
      <c r="O960" s="22" t="s">
        <v>59</v>
      </c>
      <c r="P960" s="22" t="s">
        <v>1116</v>
      </c>
      <c r="R960" s="23" t="s">
        <v>2830</v>
      </c>
      <c r="V960" s="25" t="s">
        <v>61</v>
      </c>
      <c r="Z960" s="83" t="s">
        <v>62</v>
      </c>
      <c r="AA960" s="6">
        <v>1</v>
      </c>
      <c r="BQ960" s="6" t="s">
        <v>353</v>
      </c>
      <c r="BR960" s="5" t="s">
        <v>822</v>
      </c>
    </row>
    <row r="961" spans="1:70" x14ac:dyDescent="0.2">
      <c r="A961" s="91">
        <v>824</v>
      </c>
      <c r="B961" s="229" t="s">
        <v>819</v>
      </c>
      <c r="C961" s="259" t="s">
        <v>2858</v>
      </c>
      <c r="D961" s="229" t="s">
        <v>2859</v>
      </c>
      <c r="E961" s="3" t="s">
        <v>355</v>
      </c>
      <c r="F961" s="26" t="s">
        <v>102</v>
      </c>
      <c r="G961" s="26" t="s">
        <v>75</v>
      </c>
      <c r="H961" s="26" t="s">
        <v>429</v>
      </c>
      <c r="J961" s="22">
        <v>500</v>
      </c>
      <c r="L961" s="28" t="s">
        <v>57</v>
      </c>
      <c r="M961" s="22" t="s">
        <v>58</v>
      </c>
      <c r="N961" s="22" t="s">
        <v>2829</v>
      </c>
      <c r="O961" s="22" t="s">
        <v>59</v>
      </c>
      <c r="P961" s="22" t="s">
        <v>1116</v>
      </c>
      <c r="R961" s="23" t="s">
        <v>2830</v>
      </c>
      <c r="V961" s="25" t="s">
        <v>61</v>
      </c>
      <c r="Z961" s="83" t="s">
        <v>62</v>
      </c>
      <c r="AA961" s="6">
        <v>1</v>
      </c>
      <c r="BQ961" s="6" t="s">
        <v>353</v>
      </c>
      <c r="BR961" s="5" t="s">
        <v>822</v>
      </c>
    </row>
    <row r="962" spans="1:70" x14ac:dyDescent="0.2">
      <c r="A962" s="91">
        <v>825</v>
      </c>
      <c r="B962" s="229" t="s">
        <v>819</v>
      </c>
      <c r="C962" s="259" t="s">
        <v>2860</v>
      </c>
      <c r="D962" s="229" t="s">
        <v>2861</v>
      </c>
      <c r="E962" s="3" t="s">
        <v>355</v>
      </c>
      <c r="F962" s="26" t="s">
        <v>102</v>
      </c>
      <c r="G962" s="26" t="s">
        <v>75</v>
      </c>
      <c r="H962" s="26" t="s">
        <v>429</v>
      </c>
      <c r="J962" s="22">
        <v>500</v>
      </c>
      <c r="L962" s="28" t="s">
        <v>57</v>
      </c>
      <c r="M962" s="22" t="s">
        <v>58</v>
      </c>
      <c r="N962" s="22" t="s">
        <v>2829</v>
      </c>
      <c r="O962" s="22" t="s">
        <v>59</v>
      </c>
      <c r="P962" s="22" t="s">
        <v>1116</v>
      </c>
      <c r="R962" s="23" t="s">
        <v>2830</v>
      </c>
      <c r="V962" s="25" t="s">
        <v>61</v>
      </c>
      <c r="Z962" s="83" t="s">
        <v>62</v>
      </c>
      <c r="AA962" s="6">
        <v>1</v>
      </c>
      <c r="BQ962" s="6" t="s">
        <v>353</v>
      </c>
      <c r="BR962" s="5" t="s">
        <v>822</v>
      </c>
    </row>
    <row r="963" spans="1:70" ht="14.25" x14ac:dyDescent="0.2">
      <c r="A963" s="91">
        <v>826</v>
      </c>
      <c r="B963" s="229" t="s">
        <v>2885</v>
      </c>
      <c r="C963" s="266" t="s">
        <v>2886</v>
      </c>
      <c r="D963" s="229" t="s">
        <v>2889</v>
      </c>
      <c r="E963" s="3" t="s">
        <v>355</v>
      </c>
      <c r="F963" s="26" t="s">
        <v>102</v>
      </c>
      <c r="G963" s="26" t="s">
        <v>55</v>
      </c>
      <c r="H963" s="26" t="s">
        <v>156</v>
      </c>
      <c r="J963" s="22">
        <v>250</v>
      </c>
      <c r="L963" s="28" t="s">
        <v>57</v>
      </c>
      <c r="M963" s="22" t="s">
        <v>58</v>
      </c>
      <c r="N963" s="22">
        <v>0</v>
      </c>
      <c r="O963" s="22" t="s">
        <v>59</v>
      </c>
      <c r="P963" s="22" t="s">
        <v>78</v>
      </c>
      <c r="Q963" s="177" t="s">
        <v>1857</v>
      </c>
      <c r="R963" s="23" t="s">
        <v>2887</v>
      </c>
      <c r="Z963" s="83" t="s">
        <v>62</v>
      </c>
      <c r="AA963" s="6">
        <v>8</v>
      </c>
      <c r="AC963" s="5">
        <v>28</v>
      </c>
      <c r="AD963" s="163" t="s">
        <v>79</v>
      </c>
      <c r="AE963" s="163" t="s">
        <v>334</v>
      </c>
      <c r="AF963" s="163">
        <v>7</v>
      </c>
      <c r="AG963" s="163" t="s">
        <v>79</v>
      </c>
      <c r="AH963" s="163" t="s">
        <v>116</v>
      </c>
      <c r="BQ963" s="6" t="s">
        <v>194</v>
      </c>
      <c r="BR963" s="163" t="s">
        <v>2888</v>
      </c>
    </row>
    <row r="964" spans="1:70" ht="14.25" x14ac:dyDescent="0.2">
      <c r="A964" s="91">
        <v>827</v>
      </c>
      <c r="B964" s="229" t="s">
        <v>2885</v>
      </c>
      <c r="C964" s="266" t="s">
        <v>2886</v>
      </c>
      <c r="D964" s="229" t="s">
        <v>2890</v>
      </c>
      <c r="E964" s="3" t="s">
        <v>355</v>
      </c>
      <c r="F964" s="26" t="s">
        <v>102</v>
      </c>
      <c r="G964" s="26" t="s">
        <v>55</v>
      </c>
      <c r="H964" s="179" t="s">
        <v>156</v>
      </c>
      <c r="J964" s="22">
        <v>1000</v>
      </c>
      <c r="L964" s="28" t="s">
        <v>57</v>
      </c>
      <c r="M964" s="22" t="s">
        <v>58</v>
      </c>
      <c r="N964" s="22">
        <v>0</v>
      </c>
      <c r="O964" s="22" t="s">
        <v>59</v>
      </c>
      <c r="P964" s="22" t="s">
        <v>78</v>
      </c>
      <c r="Q964" s="177" t="s">
        <v>1857</v>
      </c>
      <c r="R964" s="177" t="s">
        <v>2887</v>
      </c>
      <c r="Z964" s="83" t="s">
        <v>62</v>
      </c>
      <c r="AA964" s="6">
        <v>8</v>
      </c>
      <c r="AC964" s="5">
        <v>28</v>
      </c>
      <c r="AD964" s="163" t="s">
        <v>79</v>
      </c>
      <c r="AE964" s="163" t="s">
        <v>334</v>
      </c>
      <c r="AF964" s="163">
        <v>7</v>
      </c>
      <c r="AG964" s="163" t="s">
        <v>79</v>
      </c>
      <c r="AH964" s="163" t="s">
        <v>116</v>
      </c>
      <c r="BQ964" s="164" t="s">
        <v>194</v>
      </c>
      <c r="BR964" s="163" t="s">
        <v>2888</v>
      </c>
    </row>
    <row r="965" spans="1:70" ht="14.25" x14ac:dyDescent="0.2">
      <c r="A965" s="91">
        <v>828</v>
      </c>
      <c r="B965" s="229" t="s">
        <v>2885</v>
      </c>
      <c r="C965" s="266" t="s">
        <v>2886</v>
      </c>
      <c r="D965" s="229" t="s">
        <v>2891</v>
      </c>
      <c r="E965" s="3" t="s">
        <v>101</v>
      </c>
      <c r="F965" s="26" t="s">
        <v>102</v>
      </c>
      <c r="G965" s="26" t="s">
        <v>55</v>
      </c>
      <c r="H965" s="26" t="s">
        <v>299</v>
      </c>
      <c r="J965" s="22">
        <v>3.0000000000000001E-3</v>
      </c>
      <c r="L965" s="28" t="s">
        <v>57</v>
      </c>
      <c r="M965" s="22" t="s">
        <v>58</v>
      </c>
      <c r="N965" s="22">
        <v>1</v>
      </c>
      <c r="O965" s="22" t="s">
        <v>59</v>
      </c>
      <c r="P965" s="22" t="s">
        <v>78</v>
      </c>
      <c r="Q965" s="177" t="s">
        <v>1857</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2888</v>
      </c>
    </row>
    <row r="966" spans="1:70" ht="14.25" x14ac:dyDescent="0.2">
      <c r="A966" s="91">
        <v>829</v>
      </c>
      <c r="B966" s="229" t="s">
        <v>2885</v>
      </c>
      <c r="C966" s="266" t="s">
        <v>2886</v>
      </c>
      <c r="D966" s="229" t="s">
        <v>2892</v>
      </c>
      <c r="E966" s="3" t="s">
        <v>101</v>
      </c>
      <c r="F966" s="26" t="s">
        <v>102</v>
      </c>
      <c r="G966" s="26" t="s">
        <v>55</v>
      </c>
      <c r="H966" s="179" t="s">
        <v>299</v>
      </c>
      <c r="J966" s="176">
        <v>3.0000000000000001E-3</v>
      </c>
      <c r="L966" s="28" t="s">
        <v>57</v>
      </c>
      <c r="M966" s="22" t="s">
        <v>58</v>
      </c>
      <c r="N966" s="22">
        <v>1</v>
      </c>
      <c r="O966" s="22" t="s">
        <v>59</v>
      </c>
      <c r="P966" s="22" t="s">
        <v>78</v>
      </c>
      <c r="Q966" s="177" t="s">
        <v>1857</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2888</v>
      </c>
    </row>
    <row r="967" spans="1:70" ht="14.25" x14ac:dyDescent="0.2">
      <c r="A967" s="91">
        <v>830</v>
      </c>
      <c r="B967" s="229" t="s">
        <v>2894</v>
      </c>
      <c r="C967" s="266" t="s">
        <v>2895</v>
      </c>
      <c r="D967" s="229" t="s">
        <v>2896</v>
      </c>
      <c r="E967" s="3" t="s">
        <v>355</v>
      </c>
      <c r="F967" s="26" t="s">
        <v>54</v>
      </c>
      <c r="G967" s="26" t="s">
        <v>55</v>
      </c>
      <c r="H967" s="26" t="s">
        <v>237</v>
      </c>
      <c r="J967" s="22">
        <v>1500</v>
      </c>
      <c r="L967" s="28" t="s">
        <v>57</v>
      </c>
      <c r="M967" s="22" t="s">
        <v>58</v>
      </c>
      <c r="N967" s="22">
        <v>0</v>
      </c>
      <c r="O967" s="22" t="s">
        <v>59</v>
      </c>
      <c r="P967" s="22" t="s">
        <v>78</v>
      </c>
      <c r="Q967" s="177" t="s">
        <v>1857</v>
      </c>
      <c r="R967" s="23" t="s">
        <v>2897</v>
      </c>
      <c r="V967" s="25" t="s">
        <v>2898</v>
      </c>
      <c r="W967" s="65">
        <v>1</v>
      </c>
      <c r="Y967" s="25" t="s">
        <v>2899</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2900</v>
      </c>
      <c r="BR967" s="5" t="s">
        <v>2901</v>
      </c>
    </row>
    <row r="968" spans="1:70" ht="14.25" x14ac:dyDescent="0.2">
      <c r="A968" s="91">
        <v>831</v>
      </c>
      <c r="B968" s="229" t="s">
        <v>2902</v>
      </c>
      <c r="C968" s="266" t="s">
        <v>2903</v>
      </c>
      <c r="D968" s="229" t="s">
        <v>2905</v>
      </c>
      <c r="E968" s="3" t="s">
        <v>355</v>
      </c>
      <c r="F968" s="26" t="s">
        <v>102</v>
      </c>
      <c r="G968" s="26" t="s">
        <v>55</v>
      </c>
      <c r="H968" s="26" t="s">
        <v>156</v>
      </c>
      <c r="J968" s="22">
        <v>500</v>
      </c>
      <c r="L968" s="28" t="s">
        <v>57</v>
      </c>
      <c r="M968" s="22" t="s">
        <v>58</v>
      </c>
      <c r="N968" s="22">
        <v>0</v>
      </c>
      <c r="O968" s="22" t="s">
        <v>59</v>
      </c>
      <c r="P968" s="22" t="s">
        <v>78</v>
      </c>
      <c r="Q968" s="177" t="s">
        <v>1857</v>
      </c>
      <c r="R968" s="23" t="s">
        <v>2904</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2900</v>
      </c>
    </row>
    <row r="969" spans="1:70" s="122" customFormat="1" ht="14.25" x14ac:dyDescent="0.2">
      <c r="A969" s="91">
        <v>832</v>
      </c>
      <c r="B969" s="229" t="s">
        <v>2902</v>
      </c>
      <c r="C969" s="266" t="s">
        <v>2903</v>
      </c>
      <c r="D969" s="229" t="s">
        <v>2905</v>
      </c>
      <c r="E969" s="123" t="s">
        <v>355</v>
      </c>
      <c r="F969" s="179" t="s">
        <v>70</v>
      </c>
      <c r="G969" s="179" t="s">
        <v>55</v>
      </c>
      <c r="H969" s="179" t="s">
        <v>156</v>
      </c>
      <c r="I969" s="179"/>
      <c r="J969" s="176">
        <v>500</v>
      </c>
      <c r="K969" s="180"/>
      <c r="L969" s="180" t="s">
        <v>57</v>
      </c>
      <c r="M969" s="176" t="s">
        <v>58</v>
      </c>
      <c r="N969" s="176">
        <v>0</v>
      </c>
      <c r="O969" s="176" t="s">
        <v>59</v>
      </c>
      <c r="P969" s="176" t="s">
        <v>78</v>
      </c>
      <c r="Q969" s="177" t="s">
        <v>1857</v>
      </c>
      <c r="R969" s="177" t="s">
        <v>2904</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2900</v>
      </c>
      <c r="BR969" s="163"/>
    </row>
    <row r="970" spans="1:70" ht="14.25" x14ac:dyDescent="0.2">
      <c r="A970" s="91">
        <v>833</v>
      </c>
      <c r="B970" s="229" t="s">
        <v>2902</v>
      </c>
      <c r="C970" s="266" t="s">
        <v>2903</v>
      </c>
      <c r="D970" s="229" t="s">
        <v>2906</v>
      </c>
      <c r="E970" s="123" t="s">
        <v>355</v>
      </c>
      <c r="F970" s="179" t="s">
        <v>102</v>
      </c>
      <c r="G970" s="179" t="s">
        <v>55</v>
      </c>
      <c r="H970" s="179" t="s">
        <v>156</v>
      </c>
      <c r="I970" s="179"/>
      <c r="J970" s="176">
        <v>500</v>
      </c>
      <c r="K970" s="180"/>
      <c r="L970" s="180" t="s">
        <v>57</v>
      </c>
      <c r="M970" s="176" t="s">
        <v>58</v>
      </c>
      <c r="N970" s="176">
        <v>0</v>
      </c>
      <c r="O970" s="176" t="s">
        <v>59</v>
      </c>
      <c r="P970" s="176" t="s">
        <v>78</v>
      </c>
      <c r="Q970" s="177" t="s">
        <v>1857</v>
      </c>
      <c r="R970" s="177" t="s">
        <v>2904</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2900</v>
      </c>
    </row>
    <row r="971" spans="1:70" ht="14.25" x14ac:dyDescent="0.2">
      <c r="A971" s="91">
        <v>834</v>
      </c>
      <c r="B971" s="229" t="s">
        <v>2902</v>
      </c>
      <c r="C971" s="266" t="s">
        <v>2903</v>
      </c>
      <c r="D971" s="229" t="s">
        <v>2906</v>
      </c>
      <c r="E971" s="123" t="s">
        <v>355</v>
      </c>
      <c r="F971" s="179" t="s">
        <v>70</v>
      </c>
      <c r="G971" s="179" t="s">
        <v>55</v>
      </c>
      <c r="H971" s="179" t="s">
        <v>156</v>
      </c>
      <c r="I971" s="179"/>
      <c r="J971" s="176">
        <v>500</v>
      </c>
      <c r="K971" s="180"/>
      <c r="L971" s="180" t="s">
        <v>57</v>
      </c>
      <c r="M971" s="176" t="s">
        <v>58</v>
      </c>
      <c r="N971" s="176">
        <v>0</v>
      </c>
      <c r="O971" s="176" t="s">
        <v>59</v>
      </c>
      <c r="P971" s="176" t="s">
        <v>78</v>
      </c>
      <c r="Q971" s="177" t="s">
        <v>1857</v>
      </c>
      <c r="R971" s="177" t="s">
        <v>2904</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2900</v>
      </c>
    </row>
    <row r="972" spans="1:70" ht="14.25" x14ac:dyDescent="0.2">
      <c r="A972" s="91">
        <v>835</v>
      </c>
      <c r="B972" s="229" t="s">
        <v>2908</v>
      </c>
      <c r="C972" s="266" t="s">
        <v>2907</v>
      </c>
      <c r="D972" s="229" t="s">
        <v>2896</v>
      </c>
      <c r="E972" s="3" t="s">
        <v>355</v>
      </c>
      <c r="F972" s="26" t="s">
        <v>102</v>
      </c>
      <c r="G972" s="26" t="s">
        <v>55</v>
      </c>
      <c r="H972" s="26" t="s">
        <v>56</v>
      </c>
      <c r="J972" s="22">
        <v>500</v>
      </c>
      <c r="L972" s="180" t="s">
        <v>57</v>
      </c>
      <c r="M972" s="176" t="s">
        <v>58</v>
      </c>
      <c r="N972" s="176">
        <v>0</v>
      </c>
      <c r="O972" s="176" t="s">
        <v>59</v>
      </c>
      <c r="P972" s="176" t="s">
        <v>78</v>
      </c>
      <c r="Q972" s="177" t="s">
        <v>1857</v>
      </c>
      <c r="R972" s="23" t="s">
        <v>2909</v>
      </c>
      <c r="V972" s="165" t="s">
        <v>2898</v>
      </c>
      <c r="W972" s="65">
        <v>2</v>
      </c>
      <c r="X972" s="106" t="s">
        <v>415</v>
      </c>
      <c r="Y972" s="25" t="s">
        <v>516</v>
      </c>
      <c r="Z972" s="83" t="s">
        <v>62</v>
      </c>
      <c r="AA972" s="6">
        <v>6</v>
      </c>
      <c r="AB972" s="6">
        <v>3</v>
      </c>
      <c r="AD972" s="163" t="s">
        <v>79</v>
      </c>
      <c r="AI972" s="5">
        <v>20</v>
      </c>
      <c r="AJ972" s="5">
        <v>30</v>
      </c>
      <c r="BQ972" s="6" t="s">
        <v>2900</v>
      </c>
    </row>
    <row r="973" spans="1:70" ht="14.25" x14ac:dyDescent="0.2">
      <c r="A973" s="91">
        <v>836</v>
      </c>
      <c r="B973" s="229" t="s">
        <v>2911</v>
      </c>
      <c r="C973" s="266" t="s">
        <v>2912</v>
      </c>
      <c r="D973" s="229" t="s">
        <v>2896</v>
      </c>
      <c r="E973" s="3" t="s">
        <v>355</v>
      </c>
      <c r="F973" s="26" t="s">
        <v>102</v>
      </c>
      <c r="G973" s="26" t="s">
        <v>55</v>
      </c>
      <c r="H973" s="179" t="s">
        <v>56</v>
      </c>
      <c r="I973" s="179"/>
      <c r="J973" s="176">
        <v>500</v>
      </c>
      <c r="K973" s="180"/>
      <c r="L973" s="180" t="s">
        <v>57</v>
      </c>
      <c r="M973" s="176" t="s">
        <v>58</v>
      </c>
      <c r="N973" s="176" t="s">
        <v>2913</v>
      </c>
      <c r="O973" s="176" t="s">
        <v>59</v>
      </c>
      <c r="P973" s="176" t="s">
        <v>78</v>
      </c>
      <c r="Q973" s="177" t="s">
        <v>1857</v>
      </c>
      <c r="R973" s="177" t="s">
        <v>2910</v>
      </c>
      <c r="V973" s="25" t="s">
        <v>435</v>
      </c>
      <c r="Y973" s="25" t="s">
        <v>2914</v>
      </c>
      <c r="Z973" s="83" t="s">
        <v>62</v>
      </c>
      <c r="AA973" s="6">
        <v>10</v>
      </c>
      <c r="AB973" s="6">
        <v>5</v>
      </c>
      <c r="AD973" s="5" t="s">
        <v>79</v>
      </c>
      <c r="AI973" s="5">
        <v>21</v>
      </c>
      <c r="AJ973" s="5">
        <v>30</v>
      </c>
      <c r="BQ973" s="6" t="s">
        <v>1831</v>
      </c>
    </row>
    <row r="974" spans="1:70" ht="14.25" x14ac:dyDescent="0.2">
      <c r="A974" s="91">
        <v>837</v>
      </c>
      <c r="B974" s="229" t="s">
        <v>2915</v>
      </c>
      <c r="C974" s="266" t="s">
        <v>2916</v>
      </c>
      <c r="D974" s="229" t="s">
        <v>2919</v>
      </c>
      <c r="E974" s="3" t="s">
        <v>355</v>
      </c>
      <c r="F974" s="26" t="s">
        <v>54</v>
      </c>
      <c r="G974" s="26" t="s">
        <v>55</v>
      </c>
      <c r="H974" s="26" t="s">
        <v>299</v>
      </c>
      <c r="J974" s="176">
        <v>500</v>
      </c>
      <c r="K974" s="180"/>
      <c r="L974" s="180" t="s">
        <v>57</v>
      </c>
      <c r="M974" s="22" t="s">
        <v>58</v>
      </c>
      <c r="N974" s="22">
        <v>0</v>
      </c>
      <c r="O974" s="176" t="s">
        <v>59</v>
      </c>
      <c r="P974" s="176" t="s">
        <v>78</v>
      </c>
      <c r="Q974" s="177" t="s">
        <v>1857</v>
      </c>
      <c r="Z974" s="83" t="s">
        <v>62</v>
      </c>
      <c r="AA974" s="6">
        <v>10</v>
      </c>
      <c r="BQ974" s="6" t="s">
        <v>194</v>
      </c>
    </row>
    <row r="975" spans="1:70" ht="14.25" x14ac:dyDescent="0.2">
      <c r="A975" s="91">
        <v>838</v>
      </c>
      <c r="B975" s="229" t="s">
        <v>2915</v>
      </c>
      <c r="C975" s="266" t="s">
        <v>2916</v>
      </c>
      <c r="D975" s="229" t="s">
        <v>2917</v>
      </c>
      <c r="E975" s="3" t="s">
        <v>355</v>
      </c>
      <c r="F975" s="26" t="s">
        <v>54</v>
      </c>
      <c r="G975" s="26" t="s">
        <v>55</v>
      </c>
      <c r="H975" s="26" t="s">
        <v>2918</v>
      </c>
      <c r="J975" s="176">
        <v>500</v>
      </c>
      <c r="K975" s="180"/>
      <c r="L975" s="180" t="s">
        <v>57</v>
      </c>
      <c r="M975" s="22" t="s">
        <v>77</v>
      </c>
      <c r="N975" s="22">
        <v>0</v>
      </c>
      <c r="O975" s="176" t="s">
        <v>59</v>
      </c>
      <c r="P975" s="176" t="s">
        <v>78</v>
      </c>
      <c r="Q975" s="177" t="s">
        <v>1827</v>
      </c>
      <c r="S975" s="24">
        <v>60</v>
      </c>
      <c r="Z975" s="83" t="s">
        <v>62</v>
      </c>
      <c r="AA975" s="6">
        <v>6</v>
      </c>
      <c r="BQ975" s="6" t="s">
        <v>194</v>
      </c>
    </row>
    <row r="976" spans="1:70" ht="14.25" x14ac:dyDescent="0.2">
      <c r="A976" s="91">
        <v>839</v>
      </c>
      <c r="B976" s="229" t="s">
        <v>2920</v>
      </c>
      <c r="C976" s="266" t="s">
        <v>2921</v>
      </c>
      <c r="D976" s="229" t="s">
        <v>2934</v>
      </c>
      <c r="E976" s="3" t="s">
        <v>355</v>
      </c>
      <c r="F976" s="26" t="s">
        <v>54</v>
      </c>
      <c r="G976" s="26" t="s">
        <v>55</v>
      </c>
      <c r="H976" s="26" t="s">
        <v>323</v>
      </c>
      <c r="J976" s="22">
        <v>250</v>
      </c>
      <c r="L976" s="28" t="s">
        <v>57</v>
      </c>
      <c r="M976" s="22" t="s">
        <v>58</v>
      </c>
      <c r="N976" s="22">
        <v>0</v>
      </c>
      <c r="O976" s="22" t="s">
        <v>59</v>
      </c>
      <c r="P976" s="22" t="s">
        <v>78</v>
      </c>
      <c r="Q976" s="177" t="s">
        <v>1857</v>
      </c>
      <c r="R976" s="23" t="s">
        <v>2923</v>
      </c>
      <c r="T976" s="23">
        <v>100</v>
      </c>
      <c r="V976" s="25" t="s">
        <v>61</v>
      </c>
      <c r="W976" s="65">
        <v>12</v>
      </c>
      <c r="X976" s="106" t="s">
        <v>202</v>
      </c>
      <c r="Z976" s="83" t="s">
        <v>62</v>
      </c>
      <c r="AA976" s="6">
        <v>10</v>
      </c>
      <c r="AB976" s="6">
        <v>0</v>
      </c>
      <c r="AD976" s="5" t="s">
        <v>79</v>
      </c>
      <c r="AI976" s="5">
        <v>21</v>
      </c>
      <c r="AJ976" s="5">
        <v>40</v>
      </c>
      <c r="BQ976" s="6" t="s">
        <v>213</v>
      </c>
      <c r="BR976" s="5" t="s">
        <v>2927</v>
      </c>
    </row>
    <row r="977" spans="1:71" ht="14.25" x14ac:dyDescent="0.2">
      <c r="A977" s="91">
        <v>840</v>
      </c>
      <c r="B977" s="229" t="s">
        <v>2920</v>
      </c>
      <c r="C977" s="266" t="s">
        <v>2921</v>
      </c>
      <c r="D977" s="229" t="s">
        <v>2935</v>
      </c>
      <c r="E977" s="123" t="s">
        <v>355</v>
      </c>
      <c r="F977" s="179" t="s">
        <v>54</v>
      </c>
      <c r="G977" s="179" t="s">
        <v>55</v>
      </c>
      <c r="H977" s="179" t="s">
        <v>323</v>
      </c>
      <c r="I977" s="179"/>
      <c r="J977" s="176">
        <v>250</v>
      </c>
      <c r="K977" s="180"/>
      <c r="L977" s="180" t="s">
        <v>57</v>
      </c>
      <c r="M977" s="176" t="s">
        <v>58</v>
      </c>
      <c r="N977" s="176">
        <v>0</v>
      </c>
      <c r="O977" s="176" t="s">
        <v>59</v>
      </c>
      <c r="P977" s="176" t="s">
        <v>78</v>
      </c>
      <c r="Q977" s="177" t="s">
        <v>1857</v>
      </c>
      <c r="R977" s="23" t="s">
        <v>2922</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2927</v>
      </c>
    </row>
    <row r="978" spans="1:71" ht="14.25" x14ac:dyDescent="0.2">
      <c r="A978" s="91">
        <v>841</v>
      </c>
      <c r="B978" s="229" t="s">
        <v>2920</v>
      </c>
      <c r="C978" s="266" t="s">
        <v>2921</v>
      </c>
      <c r="D978" s="229" t="s">
        <v>2936</v>
      </c>
      <c r="E978" s="123" t="s">
        <v>355</v>
      </c>
      <c r="F978" s="179" t="s">
        <v>54</v>
      </c>
      <c r="G978" s="179" t="s">
        <v>55</v>
      </c>
      <c r="H978" s="179" t="s">
        <v>323</v>
      </c>
      <c r="I978" s="179"/>
      <c r="J978" s="176">
        <v>250</v>
      </c>
      <c r="K978" s="180"/>
      <c r="L978" s="180" t="s">
        <v>57</v>
      </c>
      <c r="M978" s="176" t="s">
        <v>58</v>
      </c>
      <c r="N978" s="176">
        <v>0</v>
      </c>
      <c r="O978" s="176" t="s">
        <v>59</v>
      </c>
      <c r="P978" s="176" t="s">
        <v>78</v>
      </c>
      <c r="Q978" s="177" t="s">
        <v>1857</v>
      </c>
      <c r="R978" s="23" t="s">
        <v>2924</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2927</v>
      </c>
    </row>
    <row r="979" spans="1:71" ht="14.25" x14ac:dyDescent="0.2">
      <c r="A979" s="91">
        <v>842</v>
      </c>
      <c r="B979" s="229" t="s">
        <v>2920</v>
      </c>
      <c r="C979" s="266" t="s">
        <v>2921</v>
      </c>
      <c r="D979" s="229" t="s">
        <v>2937</v>
      </c>
      <c r="E979" s="123" t="s">
        <v>355</v>
      </c>
      <c r="F979" s="179" t="s">
        <v>54</v>
      </c>
      <c r="G979" s="179" t="s">
        <v>55</v>
      </c>
      <c r="H979" s="179" t="s">
        <v>323</v>
      </c>
      <c r="I979" s="179"/>
      <c r="J979" s="176">
        <v>250</v>
      </c>
      <c r="K979" s="180"/>
      <c r="L979" s="180" t="s">
        <v>57</v>
      </c>
      <c r="M979" s="176" t="s">
        <v>58</v>
      </c>
      <c r="N979" s="176">
        <v>0</v>
      </c>
      <c r="O979" s="176" t="s">
        <v>59</v>
      </c>
      <c r="P979" s="176" t="s">
        <v>78</v>
      </c>
      <c r="Q979" s="177" t="s">
        <v>1857</v>
      </c>
      <c r="R979" s="23" t="s">
        <v>2925</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2927</v>
      </c>
    </row>
    <row r="980" spans="1:71" ht="14.25" x14ac:dyDescent="0.2">
      <c r="A980" s="91">
        <v>843</v>
      </c>
      <c r="B980" s="229" t="s">
        <v>2920</v>
      </c>
      <c r="C980" s="266" t="s">
        <v>2921</v>
      </c>
      <c r="D980" s="229" t="s">
        <v>2938</v>
      </c>
      <c r="E980" s="123" t="s">
        <v>355</v>
      </c>
      <c r="F980" s="179" t="s">
        <v>54</v>
      </c>
      <c r="G980" s="179" t="s">
        <v>55</v>
      </c>
      <c r="H980" s="179" t="s">
        <v>323</v>
      </c>
      <c r="I980" s="179"/>
      <c r="J980" s="176">
        <v>250</v>
      </c>
      <c r="K980" s="180"/>
      <c r="L980" s="180" t="s">
        <v>57</v>
      </c>
      <c r="M980" s="176" t="s">
        <v>58</v>
      </c>
      <c r="N980" s="176">
        <v>0</v>
      </c>
      <c r="O980" s="176" t="s">
        <v>59</v>
      </c>
      <c r="P980" s="176" t="s">
        <v>78</v>
      </c>
      <c r="Q980" s="177" t="s">
        <v>1857</v>
      </c>
      <c r="R980" s="23" t="s">
        <v>2926</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2927</v>
      </c>
    </row>
    <row r="981" spans="1:71" ht="14.25" x14ac:dyDescent="0.2">
      <c r="A981" s="91">
        <v>844</v>
      </c>
      <c r="B981" s="229" t="s">
        <v>2928</v>
      </c>
      <c r="C981" s="266" t="s">
        <v>2929</v>
      </c>
      <c r="D981" s="229" t="s">
        <v>2933</v>
      </c>
      <c r="E981" s="3" t="s">
        <v>355</v>
      </c>
      <c r="F981" s="26" t="s">
        <v>102</v>
      </c>
      <c r="G981" s="26" t="s">
        <v>55</v>
      </c>
      <c r="H981" s="26" t="s">
        <v>156</v>
      </c>
      <c r="J981" s="22">
        <v>500</v>
      </c>
      <c r="L981" s="28" t="s">
        <v>57</v>
      </c>
      <c r="M981" s="22" t="s">
        <v>58</v>
      </c>
      <c r="N981" s="22" t="s">
        <v>2930</v>
      </c>
      <c r="O981" s="22" t="s">
        <v>59</v>
      </c>
      <c r="P981" s="22" t="s">
        <v>2931</v>
      </c>
      <c r="Q981" s="177" t="s">
        <v>1857</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2932</v>
      </c>
    </row>
    <row r="982" spans="1:71" ht="14.25" x14ac:dyDescent="0.2">
      <c r="A982" s="91">
        <v>845</v>
      </c>
      <c r="B982" s="229" t="s">
        <v>2998</v>
      </c>
      <c r="C982" s="266" t="s">
        <v>2999</v>
      </c>
      <c r="D982" s="229" t="s">
        <v>3000</v>
      </c>
      <c r="E982" s="3" t="s">
        <v>2037</v>
      </c>
      <c r="F982" s="26" t="s">
        <v>102</v>
      </c>
      <c r="G982" s="26" t="s">
        <v>55</v>
      </c>
      <c r="H982" s="26" t="s">
        <v>56</v>
      </c>
      <c r="J982" s="22">
        <v>0.8</v>
      </c>
      <c r="L982" s="28" t="s">
        <v>57</v>
      </c>
      <c r="M982" s="22" t="s">
        <v>58</v>
      </c>
      <c r="N982" s="22">
        <v>0</v>
      </c>
      <c r="O982" s="22" t="s">
        <v>59</v>
      </c>
      <c r="P982" s="22" t="s">
        <v>78</v>
      </c>
      <c r="R982" s="23" t="s">
        <v>2158</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3001</v>
      </c>
    </row>
    <row r="983" spans="1:71" ht="14.25" x14ac:dyDescent="0.2">
      <c r="A983" s="91">
        <v>846</v>
      </c>
      <c r="B983" s="229" t="s">
        <v>3004</v>
      </c>
      <c r="C983" s="276" t="s">
        <v>3005</v>
      </c>
      <c r="D983" s="229" t="s">
        <v>1963</v>
      </c>
      <c r="E983" s="123" t="s">
        <v>338</v>
      </c>
      <c r="F983" s="179" t="s">
        <v>54</v>
      </c>
      <c r="G983" s="179" t="s">
        <v>75</v>
      </c>
      <c r="H983" s="179" t="s">
        <v>65</v>
      </c>
      <c r="I983" s="179" t="s">
        <v>2166</v>
      </c>
      <c r="J983" s="176">
        <v>50</v>
      </c>
      <c r="K983" s="180"/>
      <c r="L983" s="180" t="s">
        <v>211</v>
      </c>
      <c r="M983" s="176" t="s">
        <v>77</v>
      </c>
      <c r="N983" s="176">
        <v>0</v>
      </c>
      <c r="O983" s="176" t="s">
        <v>59</v>
      </c>
      <c r="P983" s="176" t="s">
        <v>78</v>
      </c>
      <c r="Q983" s="177"/>
      <c r="R983" s="177"/>
      <c r="S983" s="178">
        <v>5</v>
      </c>
      <c r="T983" s="177"/>
      <c r="U983" s="177"/>
      <c r="V983" s="165" t="s">
        <v>61</v>
      </c>
      <c r="W983" s="166" t="s">
        <v>1960</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2167</v>
      </c>
      <c r="BS983" s="122"/>
    </row>
    <row r="984" spans="1:71" ht="14.25" x14ac:dyDescent="0.2">
      <c r="A984" s="91">
        <v>847</v>
      </c>
      <c r="B984" s="229" t="s">
        <v>3004</v>
      </c>
      <c r="C984" s="276" t="s">
        <v>3005</v>
      </c>
      <c r="D984" s="229" t="s">
        <v>2164</v>
      </c>
      <c r="E984" s="123" t="s">
        <v>338</v>
      </c>
      <c r="F984" s="179" t="s">
        <v>54</v>
      </c>
      <c r="G984" s="179" t="s">
        <v>75</v>
      </c>
      <c r="H984" s="179" t="s">
        <v>65</v>
      </c>
      <c r="I984" s="179" t="s">
        <v>2166</v>
      </c>
      <c r="J984" s="176">
        <v>50</v>
      </c>
      <c r="K984" s="180"/>
      <c r="L984" s="180" t="s">
        <v>211</v>
      </c>
      <c r="M984" s="176" t="s">
        <v>77</v>
      </c>
      <c r="N984" s="176">
        <v>1.5</v>
      </c>
      <c r="O984" s="176" t="s">
        <v>59</v>
      </c>
      <c r="P984" s="176" t="s">
        <v>78</v>
      </c>
      <c r="Q984" s="177"/>
      <c r="R984" s="177"/>
      <c r="S984" s="178">
        <v>5</v>
      </c>
      <c r="T984" s="177"/>
      <c r="U984" s="177"/>
      <c r="V984" s="165" t="s">
        <v>61</v>
      </c>
      <c r="W984" s="166" t="s">
        <v>1960</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2167</v>
      </c>
      <c r="BS984" s="122"/>
    </row>
    <row r="985" spans="1:71" ht="14.25" x14ac:dyDescent="0.2">
      <c r="A985" s="91">
        <v>848</v>
      </c>
      <c r="B985" s="229" t="s">
        <v>3004</v>
      </c>
      <c r="C985" s="276" t="s">
        <v>3005</v>
      </c>
      <c r="D985" s="229" t="s">
        <v>2165</v>
      </c>
      <c r="E985" s="123" t="s">
        <v>338</v>
      </c>
      <c r="F985" s="179" t="s">
        <v>54</v>
      </c>
      <c r="G985" s="179" t="s">
        <v>75</v>
      </c>
      <c r="H985" s="179" t="s">
        <v>65</v>
      </c>
      <c r="I985" s="179" t="s">
        <v>2166</v>
      </c>
      <c r="J985" s="176">
        <v>50</v>
      </c>
      <c r="K985" s="180"/>
      <c r="L985" s="180" t="s">
        <v>211</v>
      </c>
      <c r="M985" s="176" t="s">
        <v>77</v>
      </c>
      <c r="N985" s="176">
        <v>145.5</v>
      </c>
      <c r="O985" s="176" t="s">
        <v>59</v>
      </c>
      <c r="P985" s="176" t="s">
        <v>78</v>
      </c>
      <c r="Q985" s="177"/>
      <c r="R985" s="177"/>
      <c r="S985" s="178">
        <v>5</v>
      </c>
      <c r="T985" s="177"/>
      <c r="U985" s="177"/>
      <c r="V985" s="165" t="s">
        <v>61</v>
      </c>
      <c r="W985" s="166" t="s">
        <v>1960</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2167</v>
      </c>
      <c r="BS985" s="122"/>
    </row>
  </sheetData>
  <autoFilter ref="A2:BR985"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s>
  <pageMargins left="0.7" right="0.7" top="0.75" bottom="0.75" header="0.3" footer="0.3"/>
  <pageSetup paperSize="9" orientation="portrait" r:id="rId25"/>
  <legacyDrawing r:id="rId26"/>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F543" activePane="bottomRight" state="frozen"/>
      <selection pane="topRight" activeCell="F1" sqref="F1"/>
      <selection pane="bottomLeft" activeCell="A2" sqref="A2"/>
      <selection pane="bottomRight" activeCell="B527" sqref="B527"/>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1315</v>
      </c>
      <c r="W346" s="194">
        <v>1143</v>
      </c>
      <c r="X346" s="194" t="s">
        <v>1206</v>
      </c>
      <c r="Y346" s="194" t="s">
        <v>334</v>
      </c>
      <c r="Z346" s="195">
        <v>513</v>
      </c>
      <c r="AA346" s="195" t="s">
        <v>1206</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1315</v>
      </c>
      <c r="W347" s="194">
        <v>529</v>
      </c>
      <c r="X347" s="194" t="s">
        <v>1206</v>
      </c>
      <c r="Y347" s="194" t="s">
        <v>334</v>
      </c>
      <c r="Z347" s="195">
        <v>611</v>
      </c>
      <c r="AA347" s="195" t="s">
        <v>1206</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1315</v>
      </c>
      <c r="W348" s="194">
        <v>621</v>
      </c>
      <c r="X348" s="194" t="s">
        <v>1206</v>
      </c>
      <c r="Y348" s="194" t="s">
        <v>334</v>
      </c>
      <c r="Z348" s="195">
        <v>340</v>
      </c>
      <c r="AA348" s="195" t="s">
        <v>1206</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1315</v>
      </c>
      <c r="W349" s="194">
        <v>777</v>
      </c>
      <c r="X349" s="194" t="s">
        <v>1206</v>
      </c>
      <c r="Y349" s="194" t="s">
        <v>334</v>
      </c>
      <c r="Z349" s="195">
        <v>455</v>
      </c>
      <c r="AA349" s="195" t="s">
        <v>1206</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1258</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1258</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1258</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1395</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1398</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1398</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1213</v>
      </c>
      <c r="K414" s="46" t="s">
        <v>941</v>
      </c>
      <c r="L414" s="47">
        <v>122</v>
      </c>
      <c r="M414" s="47" t="s">
        <v>446</v>
      </c>
      <c r="N414" s="47" t="s">
        <v>1759</v>
      </c>
      <c r="O414" s="46" t="s">
        <v>937</v>
      </c>
      <c r="P414" s="48">
        <v>2.88</v>
      </c>
      <c r="Q414" s="48" t="s">
        <v>1212</v>
      </c>
      <c r="R414" s="48" t="s">
        <v>1758</v>
      </c>
      <c r="S414" s="49">
        <v>184</v>
      </c>
      <c r="T414" s="49" t="s">
        <v>1212</v>
      </c>
      <c r="U414" s="49" t="s">
        <v>1759</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1213</v>
      </c>
      <c r="K415" s="46" t="s">
        <v>941</v>
      </c>
      <c r="O415" s="46" t="s">
        <v>940</v>
      </c>
      <c r="P415" s="48">
        <v>2.1</v>
      </c>
      <c r="Q415" s="48" t="s">
        <v>1212</v>
      </c>
      <c r="R415" s="48" t="s">
        <v>1758</v>
      </c>
      <c r="AD415" s="70" t="s">
        <v>1812</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1213</v>
      </c>
      <c r="K416" s="46" t="s">
        <v>941</v>
      </c>
      <c r="O416" s="46" t="s">
        <v>940</v>
      </c>
      <c r="P416" s="48">
        <v>3.5</v>
      </c>
      <c r="Q416" s="48" t="s">
        <v>1212</v>
      </c>
      <c r="R416" s="48" t="s">
        <v>1758</v>
      </c>
      <c r="AD416" s="70" t="s">
        <v>1812</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1213</v>
      </c>
      <c r="K417" s="46" t="s">
        <v>941</v>
      </c>
      <c r="O417" s="46" t="s">
        <v>940</v>
      </c>
      <c r="P417" s="48">
        <v>4.5</v>
      </c>
      <c r="Q417" s="48" t="s">
        <v>1212</v>
      </c>
      <c r="R417" s="48" t="s">
        <v>1758</v>
      </c>
      <c r="AD417" s="70" t="s">
        <v>1812</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1213</v>
      </c>
      <c r="K418" s="46" t="s">
        <v>941</v>
      </c>
      <c r="O418" s="46" t="s">
        <v>940</v>
      </c>
      <c r="P418" s="48">
        <v>3.8</v>
      </c>
      <c r="Q418" s="48" t="s">
        <v>1212</v>
      </c>
      <c r="R418" s="48" t="s">
        <v>1758</v>
      </c>
      <c r="AD418" s="70" t="s">
        <v>1812</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1213</v>
      </c>
      <c r="K419" s="46" t="s">
        <v>334</v>
      </c>
      <c r="L419" s="47">
        <v>4.3600000000000003</v>
      </c>
      <c r="M419" s="47" t="s">
        <v>1213</v>
      </c>
      <c r="N419" s="47" t="s">
        <v>116</v>
      </c>
      <c r="O419" s="46" t="s">
        <v>940</v>
      </c>
      <c r="P419" s="48">
        <v>4.9400000000000004</v>
      </c>
      <c r="Q419" s="48" t="s">
        <v>1212</v>
      </c>
      <c r="R419" s="48" t="s">
        <v>115</v>
      </c>
      <c r="S419" s="49">
        <v>1.8</v>
      </c>
      <c r="T419" s="49" t="s">
        <v>1212</v>
      </c>
      <c r="U419" s="49" t="s">
        <v>116</v>
      </c>
      <c r="V419" s="62" t="s">
        <v>939</v>
      </c>
      <c r="AD419" s="70" t="s">
        <v>1813</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1213</v>
      </c>
      <c r="K420" s="46" t="s">
        <v>941</v>
      </c>
      <c r="L420" s="47">
        <v>40</v>
      </c>
      <c r="M420" s="47" t="s">
        <v>446</v>
      </c>
      <c r="N420" s="47" t="s">
        <v>1759</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1213</v>
      </c>
      <c r="K421" s="46" t="s">
        <v>941</v>
      </c>
      <c r="L421" s="47">
        <v>34</v>
      </c>
      <c r="M421" s="47" t="s">
        <v>446</v>
      </c>
      <c r="N421" s="47" t="s">
        <v>1759</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1814</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1814</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1814</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1814</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1213</v>
      </c>
      <c r="K426" s="46" t="s">
        <v>941</v>
      </c>
      <c r="L426" s="47">
        <v>59</v>
      </c>
      <c r="M426" s="47" t="s">
        <v>446</v>
      </c>
      <c r="N426" s="47" t="s">
        <v>1759</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1213</v>
      </c>
      <c r="K427" s="46" t="s">
        <v>941</v>
      </c>
      <c r="L427" s="47">
        <v>34</v>
      </c>
      <c r="M427" s="47" t="s">
        <v>446</v>
      </c>
      <c r="N427" s="47" t="s">
        <v>1759</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1213</v>
      </c>
      <c r="K428" s="46" t="s">
        <v>941</v>
      </c>
      <c r="L428" s="47">
        <v>120</v>
      </c>
      <c r="M428" s="47" t="s">
        <v>446</v>
      </c>
      <c r="N428" s="47" t="s">
        <v>1759</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1213</v>
      </c>
      <c r="K429" s="46" t="s">
        <v>941</v>
      </c>
      <c r="L429" s="47">
        <v>98</v>
      </c>
      <c r="M429" s="47" t="s">
        <v>446</v>
      </c>
      <c r="N429" s="47" t="s">
        <v>1759</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1213</v>
      </c>
      <c r="K430" s="46" t="s">
        <v>941</v>
      </c>
      <c r="O430" s="46" t="s">
        <v>937</v>
      </c>
      <c r="P430" s="48">
        <v>16.100000000000001</v>
      </c>
      <c r="Q430" s="48" t="s">
        <v>1212</v>
      </c>
      <c r="R430" s="48" t="s">
        <v>1815</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1213</v>
      </c>
      <c r="K431" s="46" t="s">
        <v>941</v>
      </c>
      <c r="O431" s="46" t="s">
        <v>937</v>
      </c>
      <c r="P431" s="48">
        <v>6.14</v>
      </c>
      <c r="Q431" s="48" t="s">
        <v>1212</v>
      </c>
      <c r="R431" s="48" t="s">
        <v>1815</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1213</v>
      </c>
      <c r="K432" s="46" t="s">
        <v>941</v>
      </c>
      <c r="O432" s="46" t="s">
        <v>937</v>
      </c>
      <c r="P432" s="48">
        <v>23.2</v>
      </c>
      <c r="Q432" s="48" t="s">
        <v>1212</v>
      </c>
      <c r="R432" s="48" t="s">
        <v>1815</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1213</v>
      </c>
      <c r="K433" s="46" t="s">
        <v>941</v>
      </c>
      <c r="O433" s="46" t="s">
        <v>937</v>
      </c>
      <c r="P433" s="48">
        <v>5</v>
      </c>
      <c r="Q433" s="48" t="s">
        <v>1212</v>
      </c>
      <c r="R433" s="48" t="s">
        <v>1815</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1213</v>
      </c>
      <c r="K434" s="46" t="s">
        <v>941</v>
      </c>
      <c r="O434" s="46" t="s">
        <v>937</v>
      </c>
      <c r="P434" s="48">
        <v>0.57999999999999996</v>
      </c>
      <c r="Q434" s="48" t="s">
        <v>1212</v>
      </c>
      <c r="R434" s="48" t="s">
        <v>1815</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1213</v>
      </c>
      <c r="K435" s="46" t="s">
        <v>941</v>
      </c>
      <c r="O435" s="46" t="s">
        <v>937</v>
      </c>
      <c r="P435" s="48">
        <v>1.17</v>
      </c>
      <c r="Q435" s="48" t="s">
        <v>1212</v>
      </c>
      <c r="R435" s="48" t="s">
        <v>1815</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1213</v>
      </c>
      <c r="K436" s="46" t="s">
        <v>941</v>
      </c>
      <c r="O436" s="46" t="s">
        <v>937</v>
      </c>
      <c r="P436" s="48">
        <v>2.37</v>
      </c>
      <c r="Q436" s="48" t="s">
        <v>1212</v>
      </c>
      <c r="R436" s="48" t="s">
        <v>1815</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1213</v>
      </c>
      <c r="K437" s="46" t="s">
        <v>941</v>
      </c>
      <c r="O437" s="46" t="s">
        <v>937</v>
      </c>
      <c r="P437" s="48">
        <v>2.75</v>
      </c>
      <c r="Q437" s="48" t="s">
        <v>1212</v>
      </c>
      <c r="R437" s="48" t="s">
        <v>1815</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1213</v>
      </c>
      <c r="K438" s="46" t="s">
        <v>941</v>
      </c>
      <c r="O438" s="46" t="s">
        <v>937</v>
      </c>
      <c r="P438" s="48">
        <v>5.83</v>
      </c>
      <c r="Q438" s="48" t="s">
        <v>1212</v>
      </c>
      <c r="R438" s="48" t="s">
        <v>1815</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1213</v>
      </c>
      <c r="K439" s="46" t="s">
        <v>941</v>
      </c>
      <c r="O439" s="46" t="s">
        <v>937</v>
      </c>
      <c r="P439" s="48">
        <v>10.63</v>
      </c>
      <c r="Q439" s="48" t="s">
        <v>1212</v>
      </c>
      <c r="R439" s="48" t="s">
        <v>1815</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1213</v>
      </c>
      <c r="K440" s="46" t="s">
        <v>941</v>
      </c>
      <c r="O440" s="46" t="s">
        <v>937</v>
      </c>
      <c r="P440" s="48">
        <v>24.67</v>
      </c>
      <c r="Q440" s="48" t="s">
        <v>1212</v>
      </c>
      <c r="R440" s="48" t="s">
        <v>1815</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1213</v>
      </c>
      <c r="K441" s="46" t="s">
        <v>941</v>
      </c>
      <c r="O441" s="46" t="s">
        <v>937</v>
      </c>
      <c r="P441" s="48">
        <v>30.96</v>
      </c>
      <c r="Q441" s="48" t="s">
        <v>1212</v>
      </c>
      <c r="R441" s="48" t="s">
        <v>1815</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1213</v>
      </c>
      <c r="K442" s="46" t="s">
        <v>941</v>
      </c>
      <c r="O442" s="46" t="s">
        <v>937</v>
      </c>
      <c r="P442" s="48">
        <v>36.06</v>
      </c>
      <c r="Q442" s="48" t="s">
        <v>1212</v>
      </c>
      <c r="R442" s="48" t="s">
        <v>1815</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1213</v>
      </c>
      <c r="K443" s="46" t="s">
        <v>941</v>
      </c>
      <c r="O443" s="46" t="s">
        <v>937</v>
      </c>
      <c r="P443" s="48">
        <v>8.61</v>
      </c>
      <c r="Q443" s="48" t="s">
        <v>1212</v>
      </c>
      <c r="R443" s="48" t="s">
        <v>1815</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1924</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1925</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1925</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1925</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1925</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1836</v>
      </c>
      <c r="AC449" s="61" t="s">
        <v>966</v>
      </c>
      <c r="AD449" s="70" t="s">
        <v>1926</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1836</v>
      </c>
      <c r="AC450" s="61" t="s">
        <v>1190</v>
      </c>
      <c r="AD450" s="70" t="s">
        <v>1927</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1928</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1929</v>
      </c>
      <c r="V454" s="62" t="s">
        <v>939</v>
      </c>
      <c r="AD454" s="70" t="s">
        <v>1930</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1931</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1929</v>
      </c>
      <c r="O457" s="46" t="s">
        <v>937</v>
      </c>
      <c r="P457" s="48">
        <v>1.3</v>
      </c>
      <c r="Q457" s="48" t="s">
        <v>956</v>
      </c>
      <c r="R457" s="48" t="s">
        <v>334</v>
      </c>
      <c r="S457" s="49">
        <v>0.1</v>
      </c>
      <c r="T457" s="49" t="s">
        <v>956</v>
      </c>
      <c r="U457" s="49" t="s">
        <v>1929</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1929</v>
      </c>
      <c r="O458" s="46" t="s">
        <v>937</v>
      </c>
      <c r="P458" s="48">
        <v>2.8</v>
      </c>
      <c r="Q458" s="48" t="s">
        <v>956</v>
      </c>
      <c r="R458" s="48" t="s">
        <v>334</v>
      </c>
      <c r="S458" s="49">
        <v>0.3</v>
      </c>
      <c r="T458" s="49" t="s">
        <v>956</v>
      </c>
      <c r="U458" s="49" t="s">
        <v>1929</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1929</v>
      </c>
      <c r="O459" s="46" t="s">
        <v>937</v>
      </c>
      <c r="P459" s="48">
        <v>2.9</v>
      </c>
      <c r="Q459" s="48" t="s">
        <v>956</v>
      </c>
      <c r="R459" s="48" t="s">
        <v>334</v>
      </c>
      <c r="S459" s="49">
        <v>0.5</v>
      </c>
      <c r="T459" s="49" t="s">
        <v>956</v>
      </c>
      <c r="U459" s="49" t="s">
        <v>1929</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1929</v>
      </c>
      <c r="O460" s="46" t="s">
        <v>937</v>
      </c>
      <c r="P460" s="48">
        <v>8</v>
      </c>
      <c r="Q460" s="48" t="s">
        <v>959</v>
      </c>
      <c r="R460" s="48" t="s">
        <v>115</v>
      </c>
      <c r="S460" s="49">
        <v>1.3</v>
      </c>
      <c r="T460" s="49" t="s">
        <v>959</v>
      </c>
      <c r="U460" s="49" t="s">
        <v>1929</v>
      </c>
      <c r="V460" s="62" t="s">
        <v>939</v>
      </c>
      <c r="W460" s="54">
        <v>0.64</v>
      </c>
      <c r="X460" s="54" t="s">
        <v>944</v>
      </c>
      <c r="Y460" s="54" t="s">
        <v>334</v>
      </c>
      <c r="Z460" s="56">
        <v>0.14000000000000001</v>
      </c>
      <c r="AA460" s="56" t="s">
        <v>944</v>
      </c>
      <c r="AB460" s="56" t="s">
        <v>1929</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1929</v>
      </c>
      <c r="O461" s="46" t="s">
        <v>940</v>
      </c>
      <c r="P461" s="48">
        <v>6.8</v>
      </c>
      <c r="Q461" s="48" t="s">
        <v>959</v>
      </c>
      <c r="R461" s="48" t="s">
        <v>115</v>
      </c>
      <c r="S461" s="49">
        <v>0.7</v>
      </c>
      <c r="T461" s="49" t="s">
        <v>959</v>
      </c>
      <c r="U461" s="49" t="s">
        <v>1929</v>
      </c>
      <c r="V461" s="62" t="s">
        <v>939</v>
      </c>
      <c r="W461" s="54">
        <v>0.69</v>
      </c>
      <c r="X461" s="54" t="s">
        <v>944</v>
      </c>
      <c r="Y461" s="54" t="s">
        <v>334</v>
      </c>
      <c r="Z461" s="56">
        <v>0.11</v>
      </c>
      <c r="AA461" s="56" t="s">
        <v>944</v>
      </c>
      <c r="AB461" s="56" t="s">
        <v>1929</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1932</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1933</v>
      </c>
      <c r="O467" s="46" t="s">
        <v>937</v>
      </c>
      <c r="P467" s="48">
        <v>2</v>
      </c>
      <c r="Q467" s="48" t="s">
        <v>959</v>
      </c>
      <c r="R467" s="48" t="s">
        <v>115</v>
      </c>
      <c r="S467" s="49">
        <v>0.3</v>
      </c>
      <c r="T467" s="49" t="s">
        <v>959</v>
      </c>
      <c r="U467" s="49" t="s">
        <v>1933</v>
      </c>
      <c r="V467" s="62" t="s">
        <v>939</v>
      </c>
      <c r="AD467" s="70" t="s">
        <v>1934</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1933</v>
      </c>
      <c r="O468" s="46" t="s">
        <v>937</v>
      </c>
      <c r="P468" s="48">
        <v>1.5</v>
      </c>
      <c r="Q468" s="48" t="s">
        <v>959</v>
      </c>
      <c r="R468" s="48" t="s">
        <v>115</v>
      </c>
      <c r="S468" s="49">
        <v>0.5</v>
      </c>
      <c r="T468" s="49" t="s">
        <v>959</v>
      </c>
      <c r="U468" s="49" t="s">
        <v>1933</v>
      </c>
      <c r="V468" s="62" t="s">
        <v>939</v>
      </c>
      <c r="AD468" s="70" t="s">
        <v>1934</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1933</v>
      </c>
      <c r="O469" s="46" t="s">
        <v>937</v>
      </c>
      <c r="P469" s="48">
        <v>2.2000000000000002</v>
      </c>
      <c r="Q469" s="48" t="s">
        <v>959</v>
      </c>
      <c r="R469" s="48" t="s">
        <v>115</v>
      </c>
      <c r="S469" s="49">
        <v>0.4</v>
      </c>
      <c r="T469" s="49" t="s">
        <v>959</v>
      </c>
      <c r="U469" s="49" t="s">
        <v>1933</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1933</v>
      </c>
      <c r="O470" s="46" t="s">
        <v>937</v>
      </c>
      <c r="P470" s="48">
        <v>1.5</v>
      </c>
      <c r="Q470" s="48" t="s">
        <v>959</v>
      </c>
      <c r="R470" s="48" t="s">
        <v>115</v>
      </c>
      <c r="S470" s="49">
        <v>0.2</v>
      </c>
      <c r="T470" s="49" t="s">
        <v>959</v>
      </c>
      <c r="U470" s="49" t="s">
        <v>1933</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1935</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1936</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1937</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1937</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1938</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1939</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1939</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1939</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2137</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2137</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2137</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2137</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2137</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2137</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2137</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2137</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2137</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2137</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2137</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2137</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2137</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2137</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2137</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2137</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2523</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2524</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2523</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2685</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2685</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2685</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2685</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2685</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2685</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2525</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2526</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2527</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2528</v>
      </c>
      <c r="M511" s="47" t="s">
        <v>964</v>
      </c>
      <c r="N511" s="47" t="s">
        <v>1096</v>
      </c>
      <c r="O511" s="46" t="s">
        <v>937</v>
      </c>
      <c r="P511" s="48">
        <v>58</v>
      </c>
      <c r="Q511" s="48" t="s">
        <v>965</v>
      </c>
      <c r="R511" s="48" t="s">
        <v>334</v>
      </c>
      <c r="S511" s="49" t="s">
        <v>2529</v>
      </c>
      <c r="T511" s="49" t="s">
        <v>965</v>
      </c>
      <c r="U511" s="49" t="s">
        <v>1096</v>
      </c>
      <c r="V511" s="62" t="s">
        <v>939</v>
      </c>
      <c r="W511" s="54">
        <v>36</v>
      </c>
      <c r="X511" s="54" t="s">
        <v>963</v>
      </c>
      <c r="Y511" s="54" t="s">
        <v>334</v>
      </c>
      <c r="Z511" s="56" t="s">
        <v>2530</v>
      </c>
      <c r="AA511" s="56" t="s">
        <v>963</v>
      </c>
      <c r="AB511" s="56" t="s">
        <v>1096</v>
      </c>
      <c r="AC511" s="61" t="s">
        <v>966</v>
      </c>
      <c r="AD511" s="70" t="s">
        <v>2531</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2532</v>
      </c>
      <c r="M512" s="47" t="s">
        <v>964</v>
      </c>
      <c r="N512" s="47" t="s">
        <v>1096</v>
      </c>
      <c r="O512" s="46" t="s">
        <v>937</v>
      </c>
      <c r="P512" s="48">
        <v>59</v>
      </c>
      <c r="Q512" s="48" t="s">
        <v>965</v>
      </c>
      <c r="R512" s="48" t="s">
        <v>334</v>
      </c>
      <c r="S512" s="49" t="s">
        <v>2533</v>
      </c>
      <c r="T512" s="49" t="s">
        <v>965</v>
      </c>
      <c r="U512" s="49" t="s">
        <v>1096</v>
      </c>
      <c r="V512" s="62" t="s">
        <v>939</v>
      </c>
      <c r="W512" s="54">
        <v>30.4</v>
      </c>
      <c r="X512" s="54" t="s">
        <v>963</v>
      </c>
      <c r="Y512" s="54" t="s">
        <v>334</v>
      </c>
      <c r="Z512" s="56" t="s">
        <v>2534</v>
      </c>
      <c r="AA512" s="56" t="s">
        <v>963</v>
      </c>
      <c r="AB512" s="56" t="s">
        <v>1096</v>
      </c>
      <c r="AC512" s="61" t="s">
        <v>966</v>
      </c>
      <c r="AD512" s="70" t="s">
        <v>2531</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2535</v>
      </c>
      <c r="M513" s="47" t="s">
        <v>964</v>
      </c>
      <c r="N513" s="47" t="s">
        <v>1096</v>
      </c>
      <c r="O513" s="46" t="s">
        <v>937</v>
      </c>
      <c r="P513" s="48">
        <v>58</v>
      </c>
      <c r="Q513" s="48" t="s">
        <v>965</v>
      </c>
      <c r="R513" s="48" t="s">
        <v>334</v>
      </c>
      <c r="S513" s="49" t="s">
        <v>2533</v>
      </c>
      <c r="T513" s="49" t="s">
        <v>965</v>
      </c>
      <c r="U513" s="49" t="s">
        <v>1096</v>
      </c>
      <c r="V513" s="62" t="s">
        <v>939</v>
      </c>
      <c r="W513" s="54">
        <v>33.200000000000003</v>
      </c>
      <c r="X513" s="54" t="s">
        <v>963</v>
      </c>
      <c r="Y513" s="54" t="s">
        <v>334</v>
      </c>
      <c r="Z513" s="56" t="s">
        <v>2536</v>
      </c>
      <c r="AA513" s="56" t="s">
        <v>963</v>
      </c>
      <c r="AB513" s="56" t="s">
        <v>1096</v>
      </c>
      <c r="AC513" s="61" t="s">
        <v>966</v>
      </c>
      <c r="AD513" s="70" t="s">
        <v>2531</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2537</v>
      </c>
      <c r="M514" s="47" t="s">
        <v>964</v>
      </c>
      <c r="N514" s="47" t="s">
        <v>1096</v>
      </c>
      <c r="O514" s="46" t="s">
        <v>937</v>
      </c>
      <c r="P514" s="48">
        <v>12</v>
      </c>
      <c r="Q514" s="48" t="s">
        <v>965</v>
      </c>
      <c r="R514" s="48" t="s">
        <v>334</v>
      </c>
      <c r="S514" s="49" t="s">
        <v>2538</v>
      </c>
      <c r="T514" s="49" t="s">
        <v>965</v>
      </c>
      <c r="U514" s="49" t="s">
        <v>1096</v>
      </c>
      <c r="V514" s="62" t="s">
        <v>939</v>
      </c>
      <c r="W514" s="54">
        <v>124</v>
      </c>
      <c r="X514" s="54" t="s">
        <v>963</v>
      </c>
      <c r="Y514" s="54" t="s">
        <v>334</v>
      </c>
      <c r="Z514" s="56" t="s">
        <v>2539</v>
      </c>
      <c r="AA514" s="56" t="s">
        <v>963</v>
      </c>
      <c r="AB514" s="56" t="s">
        <v>1096</v>
      </c>
      <c r="AC514" s="61" t="s">
        <v>945</v>
      </c>
      <c r="AD514" s="70" t="s">
        <v>2531</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2540</v>
      </c>
      <c r="M515" s="47" t="s">
        <v>964</v>
      </c>
      <c r="N515" s="47" t="s">
        <v>1096</v>
      </c>
      <c r="O515" s="46" t="s">
        <v>937</v>
      </c>
      <c r="P515" s="48">
        <v>12</v>
      </c>
      <c r="Q515" s="48" t="s">
        <v>965</v>
      </c>
      <c r="R515" s="48" t="s">
        <v>334</v>
      </c>
      <c r="S515" s="49" t="s">
        <v>2541</v>
      </c>
      <c r="T515" s="49" t="s">
        <v>965</v>
      </c>
      <c r="U515" s="49" t="s">
        <v>1096</v>
      </c>
      <c r="V515" s="62" t="s">
        <v>939</v>
      </c>
      <c r="W515" s="54">
        <v>119</v>
      </c>
      <c r="X515" s="54" t="s">
        <v>963</v>
      </c>
      <c r="Y515" s="54" t="s">
        <v>334</v>
      </c>
      <c r="Z515" s="56" t="s">
        <v>2542</v>
      </c>
      <c r="AA515" s="56" t="s">
        <v>963</v>
      </c>
      <c r="AB515" s="56" t="s">
        <v>1096</v>
      </c>
      <c r="AC515" s="61" t="s">
        <v>945</v>
      </c>
      <c r="AD515" s="70" t="s">
        <v>2531</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2543</v>
      </c>
      <c r="M516" s="47" t="s">
        <v>964</v>
      </c>
      <c r="N516" s="47" t="s">
        <v>1096</v>
      </c>
      <c r="O516" s="46" t="s">
        <v>937</v>
      </c>
      <c r="P516" s="48">
        <v>12</v>
      </c>
      <c r="Q516" s="48" t="s">
        <v>965</v>
      </c>
      <c r="R516" s="48" t="s">
        <v>334</v>
      </c>
      <c r="S516" s="49" t="s">
        <v>2544</v>
      </c>
      <c r="T516" s="49" t="s">
        <v>965</v>
      </c>
      <c r="U516" s="49" t="s">
        <v>1096</v>
      </c>
      <c r="V516" s="62" t="s">
        <v>939</v>
      </c>
      <c r="W516" s="54">
        <v>121</v>
      </c>
      <c r="X516" s="54" t="s">
        <v>963</v>
      </c>
      <c r="Y516" s="54" t="s">
        <v>334</v>
      </c>
      <c r="Z516" s="56" t="s">
        <v>2545</v>
      </c>
      <c r="AA516" s="56" t="s">
        <v>963</v>
      </c>
      <c r="AB516" s="56" t="s">
        <v>1096</v>
      </c>
      <c r="AC516" s="61" t="s">
        <v>945</v>
      </c>
      <c r="AD516" s="70" t="s">
        <v>2531</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2546</v>
      </c>
      <c r="M517" s="47" t="s">
        <v>964</v>
      </c>
      <c r="N517" s="47" t="s">
        <v>1096</v>
      </c>
      <c r="O517" s="46" t="s">
        <v>937</v>
      </c>
      <c r="P517" s="48">
        <v>70</v>
      </c>
      <c r="Q517" s="48" t="s">
        <v>965</v>
      </c>
      <c r="R517" s="48" t="s">
        <v>334</v>
      </c>
      <c r="S517" s="49" t="s">
        <v>2547</v>
      </c>
      <c r="T517" s="49" t="s">
        <v>965</v>
      </c>
      <c r="U517" s="49" t="s">
        <v>1096</v>
      </c>
      <c r="V517" s="62" t="s">
        <v>939</v>
      </c>
      <c r="W517" s="54">
        <v>10.6</v>
      </c>
      <c r="X517" s="54" t="s">
        <v>963</v>
      </c>
      <c r="Y517" s="54" t="s">
        <v>334</v>
      </c>
      <c r="Z517" s="56" t="s">
        <v>2548</v>
      </c>
      <c r="AA517" s="56" t="s">
        <v>963</v>
      </c>
      <c r="AB517" s="56" t="s">
        <v>1096</v>
      </c>
      <c r="AC517" s="61" t="s">
        <v>966</v>
      </c>
      <c r="AD517" s="70" t="s">
        <v>2531</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2549</v>
      </c>
      <c r="M518" s="47" t="s">
        <v>964</v>
      </c>
      <c r="N518" s="47" t="s">
        <v>1096</v>
      </c>
      <c r="O518" s="46" t="s">
        <v>937</v>
      </c>
      <c r="P518" s="48">
        <v>66</v>
      </c>
      <c r="Q518" s="48" t="s">
        <v>965</v>
      </c>
      <c r="R518" s="48" t="s">
        <v>334</v>
      </c>
      <c r="S518" s="49" t="s">
        <v>2550</v>
      </c>
      <c r="T518" s="49" t="s">
        <v>965</v>
      </c>
      <c r="U518" s="49" t="s">
        <v>1096</v>
      </c>
      <c r="V518" s="62" t="s">
        <v>939</v>
      </c>
      <c r="W518" s="54">
        <v>12.4</v>
      </c>
      <c r="X518" s="54" t="s">
        <v>963</v>
      </c>
      <c r="Y518" s="54" t="s">
        <v>334</v>
      </c>
      <c r="Z518" s="56" t="s">
        <v>2551</v>
      </c>
      <c r="AA518" s="56" t="s">
        <v>963</v>
      </c>
      <c r="AB518" s="56" t="s">
        <v>1096</v>
      </c>
      <c r="AC518" s="61" t="s">
        <v>966</v>
      </c>
      <c r="AD518" s="70" t="s">
        <v>2531</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2552</v>
      </c>
      <c r="M519" s="47" t="s">
        <v>964</v>
      </c>
      <c r="N519" s="47" t="s">
        <v>1096</v>
      </c>
      <c r="O519" s="46" t="s">
        <v>937</v>
      </c>
      <c r="P519" s="48">
        <v>68</v>
      </c>
      <c r="Q519" s="48" t="s">
        <v>965</v>
      </c>
      <c r="R519" s="48" t="s">
        <v>334</v>
      </c>
      <c r="S519" s="49" t="s">
        <v>2553</v>
      </c>
      <c r="T519" s="49" t="s">
        <v>965</v>
      </c>
      <c r="U519" s="49" t="s">
        <v>1096</v>
      </c>
      <c r="V519" s="62" t="s">
        <v>939</v>
      </c>
      <c r="W519" s="54">
        <v>11.5</v>
      </c>
      <c r="X519" s="54" t="s">
        <v>963</v>
      </c>
      <c r="Y519" s="54" t="s">
        <v>334</v>
      </c>
      <c r="Z519" s="56" t="s">
        <v>2554</v>
      </c>
      <c r="AA519" s="56" t="s">
        <v>963</v>
      </c>
      <c r="AB519" s="56" t="s">
        <v>1096</v>
      </c>
      <c r="AC519" s="61" t="s">
        <v>966</v>
      </c>
      <c r="AD519" s="70" t="s">
        <v>2531</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2555</v>
      </c>
      <c r="M520" s="47" t="s">
        <v>964</v>
      </c>
      <c r="N520" s="47" t="s">
        <v>1096</v>
      </c>
      <c r="O520" s="46" t="s">
        <v>937</v>
      </c>
      <c r="P520" s="48">
        <v>34</v>
      </c>
      <c r="Q520" s="48" t="s">
        <v>965</v>
      </c>
      <c r="R520" s="48" t="s">
        <v>334</v>
      </c>
      <c r="S520" s="49" t="s">
        <v>2556</v>
      </c>
      <c r="T520" s="49" t="s">
        <v>965</v>
      </c>
      <c r="U520" s="49" t="s">
        <v>1096</v>
      </c>
      <c r="V520" s="62" t="s">
        <v>939</v>
      </c>
      <c r="W520" s="54">
        <v>16.2</v>
      </c>
      <c r="X520" s="54" t="s">
        <v>963</v>
      </c>
      <c r="Y520" s="54" t="s">
        <v>334</v>
      </c>
      <c r="Z520" s="56" t="s">
        <v>2557</v>
      </c>
      <c r="AA520" s="56" t="s">
        <v>963</v>
      </c>
      <c r="AB520" s="56" t="s">
        <v>1096</v>
      </c>
      <c r="AC520" s="61" t="s">
        <v>945</v>
      </c>
      <c r="AD520" s="70" t="s">
        <v>2531</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2558</v>
      </c>
      <c r="M521" s="47" t="s">
        <v>964</v>
      </c>
      <c r="N521" s="47" t="s">
        <v>1096</v>
      </c>
      <c r="O521" s="46" t="s">
        <v>937</v>
      </c>
      <c r="P521" s="48">
        <v>31</v>
      </c>
      <c r="Q521" s="48" t="s">
        <v>965</v>
      </c>
      <c r="R521" s="48" t="s">
        <v>334</v>
      </c>
      <c r="S521" s="49" t="s">
        <v>2559</v>
      </c>
      <c r="T521" s="49" t="s">
        <v>965</v>
      </c>
      <c r="U521" s="49" t="s">
        <v>1096</v>
      </c>
      <c r="V521" s="62" t="s">
        <v>939</v>
      </c>
      <c r="W521" s="54">
        <v>18.600000000000001</v>
      </c>
      <c r="X521" s="54" t="s">
        <v>963</v>
      </c>
      <c r="Y521" s="54" t="s">
        <v>334</v>
      </c>
      <c r="Z521" s="56" t="s">
        <v>2560</v>
      </c>
      <c r="AA521" s="56" t="s">
        <v>963</v>
      </c>
      <c r="AB521" s="56" t="s">
        <v>1096</v>
      </c>
      <c r="AC521" s="61" t="s">
        <v>945</v>
      </c>
      <c r="AD521" s="70" t="s">
        <v>2531</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2561</v>
      </c>
      <c r="M522" s="47" t="s">
        <v>964</v>
      </c>
      <c r="N522" s="47" t="s">
        <v>1096</v>
      </c>
      <c r="O522" s="46" t="s">
        <v>937</v>
      </c>
      <c r="P522" s="48">
        <v>33</v>
      </c>
      <c r="Q522" s="48" t="s">
        <v>965</v>
      </c>
      <c r="R522" s="48" t="s">
        <v>334</v>
      </c>
      <c r="S522" s="49" t="s">
        <v>2562</v>
      </c>
      <c r="T522" s="49" t="s">
        <v>965</v>
      </c>
      <c r="U522" s="49" t="s">
        <v>1096</v>
      </c>
      <c r="V522" s="62" t="s">
        <v>939</v>
      </c>
      <c r="W522" s="54">
        <v>17.399999999999999</v>
      </c>
      <c r="X522" s="54" t="s">
        <v>963</v>
      </c>
      <c r="Y522" s="54" t="s">
        <v>334</v>
      </c>
      <c r="Z522" s="56" t="s">
        <v>2563</v>
      </c>
      <c r="AA522" s="56" t="s">
        <v>963</v>
      </c>
      <c r="AB522" s="56" t="s">
        <v>1096</v>
      </c>
      <c r="AC522" s="61" t="s">
        <v>945</v>
      </c>
      <c r="AD522" s="70" t="s">
        <v>2531</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1213</v>
      </c>
      <c r="K523" s="46" t="s">
        <v>334</v>
      </c>
      <c r="L523" s="47" t="s">
        <v>2564</v>
      </c>
      <c r="M523" s="47" t="s">
        <v>1213</v>
      </c>
      <c r="N523" s="47" t="s">
        <v>1096</v>
      </c>
      <c r="O523" s="46" t="s">
        <v>940</v>
      </c>
      <c r="W523" s="54">
        <v>10.9</v>
      </c>
      <c r="X523" s="54" t="s">
        <v>963</v>
      </c>
      <c r="Y523" s="54" t="s">
        <v>334</v>
      </c>
      <c r="Z523" s="56" t="s">
        <v>2565</v>
      </c>
      <c r="AA523" s="56" t="s">
        <v>963</v>
      </c>
      <c r="AB523" s="56" t="s">
        <v>1096</v>
      </c>
      <c r="AC523" s="61" t="s">
        <v>945</v>
      </c>
      <c r="AD523" s="70" t="s">
        <v>2566</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1213</v>
      </c>
      <c r="K524" s="46" t="s">
        <v>334</v>
      </c>
      <c r="L524" s="47" t="s">
        <v>2567</v>
      </c>
      <c r="M524" s="189" t="s">
        <v>1213</v>
      </c>
      <c r="N524" s="47" t="s">
        <v>1096</v>
      </c>
      <c r="O524" s="46" t="s">
        <v>940</v>
      </c>
      <c r="AD524" s="70" t="s">
        <v>2566</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1213</v>
      </c>
      <c r="K525" s="46" t="s">
        <v>334</v>
      </c>
      <c r="L525" s="47" t="s">
        <v>2568</v>
      </c>
      <c r="M525" s="189" t="s">
        <v>1213</v>
      </c>
      <c r="N525" s="47" t="s">
        <v>1096</v>
      </c>
      <c r="O525" s="46" t="s">
        <v>940</v>
      </c>
      <c r="AD525" s="70" t="s">
        <v>2566</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1233</v>
      </c>
      <c r="K526" s="46" t="s">
        <v>993</v>
      </c>
      <c r="L526" s="47" t="s">
        <v>2733</v>
      </c>
      <c r="M526" s="47" t="s">
        <v>1233</v>
      </c>
      <c r="N526" s="47" t="s">
        <v>1096</v>
      </c>
      <c r="O526" s="46" t="s">
        <v>954</v>
      </c>
      <c r="P526" s="48">
        <v>7.2</v>
      </c>
      <c r="Q526" s="48" t="s">
        <v>965</v>
      </c>
      <c r="R526" s="48" t="s">
        <v>993</v>
      </c>
      <c r="S526" s="49" t="s">
        <v>2734</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1233</v>
      </c>
      <c r="K527" s="46" t="s">
        <v>993</v>
      </c>
      <c r="L527" s="47" t="s">
        <v>2735</v>
      </c>
      <c r="M527" s="47" t="s">
        <v>1233</v>
      </c>
      <c r="N527" s="47" t="s">
        <v>1096</v>
      </c>
      <c r="O527" s="46" t="s">
        <v>954</v>
      </c>
      <c r="P527" s="48">
        <v>5.5</v>
      </c>
      <c r="Q527" s="48" t="s">
        <v>965</v>
      </c>
      <c r="R527" s="48" t="s">
        <v>993</v>
      </c>
      <c r="S527" s="49" t="s">
        <v>2736</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1233</v>
      </c>
      <c r="K528" s="46" t="s">
        <v>993</v>
      </c>
      <c r="L528" s="47" t="s">
        <v>2737</v>
      </c>
      <c r="M528" s="47" t="s">
        <v>1233</v>
      </c>
      <c r="N528" s="47" t="s">
        <v>1096</v>
      </c>
      <c r="O528" s="46" t="s">
        <v>954</v>
      </c>
      <c r="P528" s="48">
        <v>2.7</v>
      </c>
      <c r="Q528" s="48" t="s">
        <v>965</v>
      </c>
      <c r="R528" s="48" t="s">
        <v>993</v>
      </c>
      <c r="S528" s="49" t="s">
        <v>2738</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1233</v>
      </c>
      <c r="K529" s="46" t="s">
        <v>993</v>
      </c>
      <c r="L529" s="47" t="s">
        <v>2739</v>
      </c>
      <c r="M529" s="47" t="s">
        <v>1233</v>
      </c>
      <c r="N529" s="47" t="s">
        <v>1096</v>
      </c>
      <c r="O529" s="46" t="s">
        <v>954</v>
      </c>
      <c r="P529" s="48">
        <v>1.2</v>
      </c>
      <c r="Q529" s="48" t="s">
        <v>965</v>
      </c>
      <c r="R529" s="48" t="s">
        <v>993</v>
      </c>
      <c r="S529" s="49" t="s">
        <v>2740</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1233</v>
      </c>
      <c r="K530" s="46" t="s">
        <v>993</v>
      </c>
      <c r="L530" s="47" t="s">
        <v>2741</v>
      </c>
      <c r="M530" s="47" t="s">
        <v>1233</v>
      </c>
      <c r="N530" s="47" t="s">
        <v>1096</v>
      </c>
      <c r="O530" s="46" t="s">
        <v>954</v>
      </c>
      <c r="P530" s="48">
        <v>12.6</v>
      </c>
      <c r="Q530" s="48" t="s">
        <v>965</v>
      </c>
      <c r="R530" s="48" t="s">
        <v>993</v>
      </c>
      <c r="S530" s="49" t="s">
        <v>2742</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1233</v>
      </c>
      <c r="K531" s="46" t="s">
        <v>993</v>
      </c>
      <c r="L531" s="47" t="s">
        <v>2569</v>
      </c>
      <c r="M531" s="47" t="s">
        <v>1233</v>
      </c>
      <c r="N531" s="47" t="s">
        <v>1096</v>
      </c>
      <c r="O531" s="46" t="s">
        <v>954</v>
      </c>
      <c r="P531" s="48">
        <v>8.3000000000000007</v>
      </c>
      <c r="Q531" s="48" t="s">
        <v>965</v>
      </c>
      <c r="R531" s="48" t="s">
        <v>993</v>
      </c>
      <c r="S531" s="49" t="s">
        <v>2570</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1203</v>
      </c>
      <c r="Y532" s="54" t="s">
        <v>334</v>
      </c>
      <c r="Z532" s="56">
        <v>2.3999999999999998E-3</v>
      </c>
      <c r="AA532" s="56" t="s">
        <v>1203</v>
      </c>
      <c r="AB532" s="56" t="s">
        <v>116</v>
      </c>
      <c r="AC532" s="61" t="s">
        <v>966</v>
      </c>
      <c r="AD532" s="70" t="s">
        <v>2571</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1203</v>
      </c>
      <c r="Y533" s="54" t="s">
        <v>334</v>
      </c>
      <c r="Z533" s="56">
        <v>2.0999999999999999E-3</v>
      </c>
      <c r="AA533" s="56" t="s">
        <v>1203</v>
      </c>
      <c r="AB533" s="56" t="s">
        <v>116</v>
      </c>
      <c r="AC533" s="61" t="s">
        <v>966</v>
      </c>
      <c r="AD533" s="70" t="s">
        <v>2572</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1933</v>
      </c>
      <c r="O534" s="46" t="s">
        <v>937</v>
      </c>
      <c r="P534" s="48">
        <v>15.2</v>
      </c>
      <c r="Q534" s="48" t="s">
        <v>965</v>
      </c>
      <c r="R534" s="48" t="s">
        <v>334</v>
      </c>
      <c r="S534" s="49">
        <v>1.5</v>
      </c>
      <c r="T534" s="49" t="s">
        <v>965</v>
      </c>
      <c r="U534" s="49" t="s">
        <v>1933</v>
      </c>
      <c r="V534" s="62" t="s">
        <v>939</v>
      </c>
      <c r="W534" s="54">
        <v>1.1000000000000001</v>
      </c>
      <c r="X534" s="54" t="s">
        <v>973</v>
      </c>
      <c r="Y534" s="54" t="s">
        <v>334</v>
      </c>
      <c r="Z534" s="56">
        <v>0.1</v>
      </c>
      <c r="AA534" s="56" t="s">
        <v>973</v>
      </c>
      <c r="AB534" s="56" t="s">
        <v>1933</v>
      </c>
      <c r="AC534" s="61" t="s">
        <v>945</v>
      </c>
      <c r="AD534" s="70" t="s">
        <v>2696</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1933</v>
      </c>
      <c r="O535" s="46" t="s">
        <v>937</v>
      </c>
      <c r="P535" s="48">
        <v>9.6999999999999993</v>
      </c>
      <c r="Q535" s="48" t="s">
        <v>965</v>
      </c>
      <c r="R535" s="48" t="s">
        <v>334</v>
      </c>
      <c r="S535" s="49">
        <v>2.6</v>
      </c>
      <c r="T535" s="49" t="s">
        <v>965</v>
      </c>
      <c r="U535" s="49" t="s">
        <v>1933</v>
      </c>
      <c r="V535" s="62" t="s">
        <v>939</v>
      </c>
      <c r="W535" s="54">
        <v>8.3000000000000007</v>
      </c>
      <c r="X535" s="54" t="s">
        <v>973</v>
      </c>
      <c r="Y535" s="54" t="s">
        <v>334</v>
      </c>
      <c r="Z535" s="56">
        <v>1.6</v>
      </c>
      <c r="AA535" s="56" t="s">
        <v>973</v>
      </c>
      <c r="AB535" s="56" t="s">
        <v>1933</v>
      </c>
      <c r="AC535" s="61" t="s">
        <v>945</v>
      </c>
      <c r="AD535" s="70" t="s">
        <v>2696</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1933</v>
      </c>
      <c r="O536" s="46" t="s">
        <v>937</v>
      </c>
      <c r="P536" s="48">
        <v>16.399999999999999</v>
      </c>
      <c r="Q536" s="48" t="s">
        <v>965</v>
      </c>
      <c r="R536" s="48" t="s">
        <v>334</v>
      </c>
      <c r="S536" s="49">
        <v>2.9</v>
      </c>
      <c r="T536" s="49" t="s">
        <v>965</v>
      </c>
      <c r="U536" s="49" t="s">
        <v>1933</v>
      </c>
      <c r="V536" s="62" t="s">
        <v>939</v>
      </c>
      <c r="W536" s="54">
        <v>0.6</v>
      </c>
      <c r="X536" s="54" t="s">
        <v>973</v>
      </c>
      <c r="Y536" s="54" t="s">
        <v>334</v>
      </c>
      <c r="Z536" s="56">
        <v>0.1</v>
      </c>
      <c r="AA536" s="56" t="s">
        <v>973</v>
      </c>
      <c r="AB536" s="56" t="s">
        <v>1933</v>
      </c>
      <c r="AC536" s="61" t="s">
        <v>945</v>
      </c>
      <c r="AD536" s="70" t="s">
        <v>2696</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1929</v>
      </c>
      <c r="O537" s="46" t="s">
        <v>937</v>
      </c>
      <c r="P537" s="48">
        <v>2.9</v>
      </c>
      <c r="Q537" s="48" t="s">
        <v>938</v>
      </c>
      <c r="R537" s="48" t="s">
        <v>334</v>
      </c>
      <c r="S537" s="49">
        <v>0.2</v>
      </c>
      <c r="T537" s="49" t="s">
        <v>938</v>
      </c>
      <c r="U537" s="49" t="s">
        <v>1929</v>
      </c>
      <c r="V537" s="62" t="s">
        <v>939</v>
      </c>
      <c r="AD537" s="70" t="s">
        <v>2697</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1929</v>
      </c>
      <c r="O538" s="46" t="s">
        <v>937</v>
      </c>
      <c r="P538" s="48">
        <v>0.36</v>
      </c>
      <c r="Q538" s="48" t="s">
        <v>938</v>
      </c>
      <c r="R538" s="48" t="s">
        <v>334</v>
      </c>
      <c r="S538" s="49">
        <v>0.06</v>
      </c>
      <c r="T538" s="49" t="s">
        <v>938</v>
      </c>
      <c r="U538" s="49" t="s">
        <v>1929</v>
      </c>
      <c r="V538" s="62" t="s">
        <v>939</v>
      </c>
      <c r="AD538" s="70" t="s">
        <v>2698</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2699</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2700</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1929</v>
      </c>
      <c r="O541" s="46" t="s">
        <v>937</v>
      </c>
      <c r="P541" s="48">
        <v>1.7</v>
      </c>
      <c r="Q541" s="48" t="s">
        <v>938</v>
      </c>
      <c r="R541" s="48" t="s">
        <v>115</v>
      </c>
      <c r="S541" s="49">
        <v>0.1</v>
      </c>
      <c r="T541" s="49" t="s">
        <v>938</v>
      </c>
      <c r="U541" s="49" t="s">
        <v>1929</v>
      </c>
      <c r="V541" s="62" t="s">
        <v>939</v>
      </c>
      <c r="AD541" s="70" t="s">
        <v>2701</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1929</v>
      </c>
      <c r="O542" s="46" t="s">
        <v>937</v>
      </c>
      <c r="P542" s="48">
        <v>2.4</v>
      </c>
      <c r="Q542" s="48" t="s">
        <v>938</v>
      </c>
      <c r="R542" s="48" t="s">
        <v>115</v>
      </c>
      <c r="S542" s="49">
        <v>0.1</v>
      </c>
      <c r="T542" s="49" t="s">
        <v>938</v>
      </c>
      <c r="U542" s="49" t="s">
        <v>1929</v>
      </c>
      <c r="V542" s="62" t="s">
        <v>939</v>
      </c>
      <c r="AD542" s="70" t="s">
        <v>2702</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1929</v>
      </c>
      <c r="O543" s="46" t="s">
        <v>937</v>
      </c>
      <c r="P543" s="48">
        <v>3</v>
      </c>
      <c r="Q543" s="48" t="s">
        <v>938</v>
      </c>
      <c r="R543" s="48" t="s">
        <v>115</v>
      </c>
      <c r="S543" s="49">
        <v>0.2</v>
      </c>
      <c r="T543" s="49" t="s">
        <v>938</v>
      </c>
      <c r="U543" s="49" t="s">
        <v>1929</v>
      </c>
      <c r="V543" s="62" t="s">
        <v>939</v>
      </c>
      <c r="AD543" s="70" t="s">
        <v>2703</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1929</v>
      </c>
      <c r="O544" s="46" t="s">
        <v>937</v>
      </c>
      <c r="P544" s="48">
        <v>3</v>
      </c>
      <c r="Q544" s="48" t="s">
        <v>938</v>
      </c>
      <c r="R544" s="48" t="s">
        <v>115</v>
      </c>
      <c r="S544" s="49">
        <v>0.2</v>
      </c>
      <c r="T544" s="49" t="s">
        <v>938</v>
      </c>
      <c r="U544" s="49" t="s">
        <v>1929</v>
      </c>
      <c r="V544" s="62" t="s">
        <v>939</v>
      </c>
      <c r="AD544" s="70" t="s">
        <v>2704</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1929</v>
      </c>
      <c r="O545" s="46" t="s">
        <v>937</v>
      </c>
      <c r="P545" s="48">
        <v>2.9</v>
      </c>
      <c r="Q545" s="48" t="s">
        <v>938</v>
      </c>
      <c r="R545" s="48" t="s">
        <v>115</v>
      </c>
      <c r="S545" s="49">
        <v>0.2</v>
      </c>
      <c r="T545" s="49" t="s">
        <v>938</v>
      </c>
      <c r="U545" s="49" t="s">
        <v>1929</v>
      </c>
      <c r="V545" s="62" t="s">
        <v>939</v>
      </c>
      <c r="AD545" s="70" t="s">
        <v>2705</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1929</v>
      </c>
      <c r="O546" s="46" t="s">
        <v>954</v>
      </c>
      <c r="P546" s="48">
        <v>98.9</v>
      </c>
      <c r="Q546" s="48" t="s">
        <v>938</v>
      </c>
      <c r="R546" s="48" t="s">
        <v>115</v>
      </c>
      <c r="S546" s="49">
        <v>8.3000000000000007</v>
      </c>
      <c r="T546" s="49" t="s">
        <v>938</v>
      </c>
      <c r="U546" s="49" t="s">
        <v>1929</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1929</v>
      </c>
      <c r="O547" s="46" t="s">
        <v>954</v>
      </c>
      <c r="P547" s="48">
        <v>175</v>
      </c>
      <c r="Q547" s="48" t="s">
        <v>938</v>
      </c>
      <c r="R547" s="48" t="s">
        <v>115</v>
      </c>
      <c r="S547" s="49">
        <v>30</v>
      </c>
      <c r="T547" s="49" t="s">
        <v>938</v>
      </c>
      <c r="U547" s="49" t="s">
        <v>1929</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1929</v>
      </c>
      <c r="O548" s="46" t="s">
        <v>954</v>
      </c>
      <c r="P548" s="48">
        <v>55.2</v>
      </c>
      <c r="Q548" s="48" t="s">
        <v>938</v>
      </c>
      <c r="R548" s="48" t="s">
        <v>115</v>
      </c>
      <c r="S548" s="49">
        <v>8.5</v>
      </c>
      <c r="T548" s="49" t="s">
        <v>938</v>
      </c>
      <c r="U548" s="49" t="s">
        <v>1929</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1929</v>
      </c>
      <c r="O549" s="46" t="s">
        <v>954</v>
      </c>
      <c r="P549" s="48">
        <v>45.3</v>
      </c>
      <c r="Q549" s="48" t="s">
        <v>938</v>
      </c>
      <c r="R549" s="48" t="s">
        <v>115</v>
      </c>
      <c r="S549" s="49">
        <v>6.8</v>
      </c>
      <c r="T549" s="49" t="s">
        <v>938</v>
      </c>
      <c r="U549" s="49" t="s">
        <v>1929</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2744</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2744</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2744</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2744</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2744</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2744</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2706</v>
      </c>
      <c r="M560" s="47" t="s">
        <v>952</v>
      </c>
      <c r="N560" s="47" t="s">
        <v>1096</v>
      </c>
      <c r="O560" s="46" t="s">
        <v>937</v>
      </c>
      <c r="P560" s="48">
        <v>55.7</v>
      </c>
      <c r="Q560" s="48" t="s">
        <v>943</v>
      </c>
      <c r="R560" s="48" t="s">
        <v>993</v>
      </c>
      <c r="S560" s="49" t="s">
        <v>2707</v>
      </c>
      <c r="T560" s="49" t="s">
        <v>943</v>
      </c>
      <c r="U560" s="49" t="s">
        <v>1096</v>
      </c>
      <c r="V560" s="62" t="s">
        <v>939</v>
      </c>
      <c r="AD560" s="70" t="s">
        <v>2708</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2709</v>
      </c>
      <c r="M561" s="47" t="s">
        <v>952</v>
      </c>
      <c r="N561" s="47" t="s">
        <v>1096</v>
      </c>
      <c r="O561" s="46" t="s">
        <v>937</v>
      </c>
      <c r="P561" s="48">
        <v>207</v>
      </c>
      <c r="Q561" s="48" t="s">
        <v>943</v>
      </c>
      <c r="R561" s="48" t="s">
        <v>993</v>
      </c>
      <c r="S561" s="49" t="s">
        <v>2710</v>
      </c>
      <c r="T561" s="49" t="s">
        <v>943</v>
      </c>
      <c r="U561" s="49" t="s">
        <v>1096</v>
      </c>
      <c r="V561" s="62" t="s">
        <v>939</v>
      </c>
      <c r="AD561" s="70" t="s">
        <v>2711</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2712</v>
      </c>
      <c r="M562" s="47" t="s">
        <v>952</v>
      </c>
      <c r="N562" s="47" t="s">
        <v>1096</v>
      </c>
      <c r="O562" s="46" t="s">
        <v>937</v>
      </c>
      <c r="P562" s="48">
        <v>72.599999999999994</v>
      </c>
      <c r="Q562" s="48" t="s">
        <v>943</v>
      </c>
      <c r="R562" s="48" t="s">
        <v>993</v>
      </c>
      <c r="S562" s="49" t="s">
        <v>2713</v>
      </c>
      <c r="T562" s="49" t="s">
        <v>943</v>
      </c>
      <c r="U562" s="49" t="s">
        <v>1096</v>
      </c>
      <c r="V562" s="62" t="s">
        <v>939</v>
      </c>
      <c r="AD562" s="70" t="s">
        <v>2714</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2715</v>
      </c>
      <c r="M563" s="47" t="s">
        <v>952</v>
      </c>
      <c r="N563" s="47" t="s">
        <v>1096</v>
      </c>
      <c r="O563" s="46" t="s">
        <v>937</v>
      </c>
      <c r="P563" s="48">
        <v>150</v>
      </c>
      <c r="Q563" s="48" t="s">
        <v>943</v>
      </c>
      <c r="R563" s="48" t="s">
        <v>993</v>
      </c>
      <c r="S563" s="49" t="s">
        <v>2716</v>
      </c>
      <c r="T563" s="49" t="s">
        <v>943</v>
      </c>
      <c r="U563" s="49" t="s">
        <v>1096</v>
      </c>
      <c r="V563" s="62" t="s">
        <v>939</v>
      </c>
      <c r="AD563" s="70" t="s">
        <v>2717</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2718</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2718</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2593</v>
      </c>
      <c r="L572" s="47">
        <v>1</v>
      </c>
      <c r="M572" s="47" t="s">
        <v>1009</v>
      </c>
      <c r="N572" s="47" t="s">
        <v>1929</v>
      </c>
      <c r="O572" s="46" t="s">
        <v>937</v>
      </c>
      <c r="P572" s="48">
        <v>65</v>
      </c>
      <c r="Q572" s="48" t="s">
        <v>992</v>
      </c>
      <c r="R572" s="48" t="s">
        <v>2593</v>
      </c>
      <c r="S572" s="49">
        <v>9</v>
      </c>
      <c r="T572" s="49" t="s">
        <v>992</v>
      </c>
      <c r="U572" s="49" t="s">
        <v>1929</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2593</v>
      </c>
      <c r="L573" s="47">
        <v>5</v>
      </c>
      <c r="M573" s="47" t="s">
        <v>1009</v>
      </c>
      <c r="N573" s="47" t="s">
        <v>1929</v>
      </c>
      <c r="O573" s="46" t="s">
        <v>937</v>
      </c>
      <c r="P573" s="48">
        <v>128</v>
      </c>
      <c r="Q573" s="48" t="s">
        <v>992</v>
      </c>
      <c r="R573" s="48" t="s">
        <v>2593</v>
      </c>
      <c r="S573" s="49">
        <v>16</v>
      </c>
      <c r="T573" s="49" t="s">
        <v>992</v>
      </c>
      <c r="U573" s="49" t="s">
        <v>1929</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2593</v>
      </c>
      <c r="L574" s="47">
        <v>0.5</v>
      </c>
      <c r="M574" s="47" t="s">
        <v>936</v>
      </c>
      <c r="N574" s="47" t="s">
        <v>1933</v>
      </c>
      <c r="O574" s="46" t="s">
        <v>937</v>
      </c>
      <c r="P574" s="48">
        <v>1.25</v>
      </c>
      <c r="Q574" s="48" t="s">
        <v>938</v>
      </c>
      <c r="R574" s="48" t="s">
        <v>2593</v>
      </c>
      <c r="S574" s="49">
        <v>0.14000000000000001</v>
      </c>
      <c r="T574" s="49" t="s">
        <v>938</v>
      </c>
      <c r="U574" s="49" t="s">
        <v>1933</v>
      </c>
      <c r="V574" s="62" t="s">
        <v>939</v>
      </c>
      <c r="W574" s="54">
        <v>413</v>
      </c>
      <c r="X574" s="54" t="s">
        <v>951</v>
      </c>
      <c r="Y574" s="54" t="s">
        <v>2593</v>
      </c>
      <c r="Z574" s="56">
        <v>39</v>
      </c>
      <c r="AA574" s="56" t="s">
        <v>951</v>
      </c>
      <c r="AB574" s="56" t="s">
        <v>1933</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2593</v>
      </c>
      <c r="L575" s="47">
        <v>3</v>
      </c>
      <c r="M575" s="47" t="s">
        <v>936</v>
      </c>
      <c r="N575" s="47" t="s">
        <v>1933</v>
      </c>
      <c r="O575" s="46" t="s">
        <v>937</v>
      </c>
      <c r="P575" s="48">
        <v>2.21</v>
      </c>
      <c r="Q575" s="48" t="s">
        <v>938</v>
      </c>
      <c r="R575" s="48" t="s">
        <v>2593</v>
      </c>
      <c r="S575" s="49">
        <v>0.24</v>
      </c>
      <c r="T575" s="49" t="s">
        <v>938</v>
      </c>
      <c r="U575" s="49" t="s">
        <v>1933</v>
      </c>
      <c r="V575" s="62" t="s">
        <v>939</v>
      </c>
      <c r="W575" s="54">
        <v>146</v>
      </c>
      <c r="X575" s="54" t="s">
        <v>951</v>
      </c>
      <c r="Y575" s="54" t="s">
        <v>2593</v>
      </c>
      <c r="Z575" s="56">
        <v>32</v>
      </c>
      <c r="AA575" s="56" t="s">
        <v>951</v>
      </c>
      <c r="AB575" s="56" t="s">
        <v>1933</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2593</v>
      </c>
      <c r="L576" s="47">
        <v>4</v>
      </c>
      <c r="M576" s="47" t="s">
        <v>936</v>
      </c>
      <c r="N576" s="47" t="s">
        <v>1933</v>
      </c>
      <c r="O576" s="46" t="s">
        <v>937</v>
      </c>
      <c r="P576" s="48">
        <v>2.46</v>
      </c>
      <c r="Q576" s="48" t="s">
        <v>938</v>
      </c>
      <c r="R576" s="48" t="s">
        <v>2593</v>
      </c>
      <c r="S576" s="49">
        <v>0.26</v>
      </c>
      <c r="T576" s="49" t="s">
        <v>938</v>
      </c>
      <c r="U576" s="49" t="s">
        <v>1933</v>
      </c>
      <c r="V576" s="62" t="s">
        <v>939</v>
      </c>
      <c r="W576" s="54">
        <v>95</v>
      </c>
      <c r="X576" s="54" t="s">
        <v>951</v>
      </c>
      <c r="Y576" s="54" t="s">
        <v>2593</v>
      </c>
      <c r="Z576" s="56">
        <v>17</v>
      </c>
      <c r="AA576" s="56" t="s">
        <v>951</v>
      </c>
      <c r="AB576" s="56" t="s">
        <v>1933</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1929</v>
      </c>
      <c r="O577" s="46" t="s">
        <v>937</v>
      </c>
      <c r="P577" s="48">
        <v>1.5</v>
      </c>
      <c r="Q577" s="48" t="s">
        <v>938</v>
      </c>
      <c r="R577" s="48" t="s">
        <v>334</v>
      </c>
      <c r="S577" s="49">
        <v>0.2</v>
      </c>
      <c r="T577" s="49" t="s">
        <v>938</v>
      </c>
      <c r="U577" s="49" t="s">
        <v>1929</v>
      </c>
      <c r="V577" s="62" t="s">
        <v>939</v>
      </c>
      <c r="AD577" s="70" t="s">
        <v>2719</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1929</v>
      </c>
      <c r="O578" s="46" t="s">
        <v>937</v>
      </c>
      <c r="P578" s="48">
        <v>4.5999999999999996</v>
      </c>
      <c r="Q578" s="48" t="s">
        <v>938</v>
      </c>
      <c r="R578" s="48" t="s">
        <v>334</v>
      </c>
      <c r="S578" s="49">
        <v>0.5</v>
      </c>
      <c r="T578" s="49" t="s">
        <v>938</v>
      </c>
      <c r="U578" s="49" t="s">
        <v>1929</v>
      </c>
      <c r="V578" s="62" t="s">
        <v>939</v>
      </c>
      <c r="AD578" s="70" t="s">
        <v>2719</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1929</v>
      </c>
      <c r="O579" s="46" t="s">
        <v>937</v>
      </c>
      <c r="P579" s="48">
        <v>4.2</v>
      </c>
      <c r="Q579" s="48" t="s">
        <v>938</v>
      </c>
      <c r="R579" s="48" t="s">
        <v>334</v>
      </c>
      <c r="S579" s="49">
        <v>0.9</v>
      </c>
      <c r="T579" s="49" t="s">
        <v>938</v>
      </c>
      <c r="U579" s="49" t="s">
        <v>1929</v>
      </c>
      <c r="V579" s="62" t="s">
        <v>939</v>
      </c>
      <c r="AD579" s="70" t="s">
        <v>2719</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2719</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2719</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2719</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2719</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2719</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2719</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2719</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2719</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2719</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2719</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2719</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2719</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2719</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2719</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2719</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2719</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2719</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2719</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2719</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2719</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2719</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2719</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2719</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2719</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2719</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2719</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2719</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2764</v>
      </c>
      <c r="M634" s="47" t="s">
        <v>936</v>
      </c>
      <c r="N634" s="47" t="s">
        <v>1096</v>
      </c>
      <c r="O634" s="46" t="s">
        <v>954</v>
      </c>
      <c r="W634" s="54">
        <v>1313</v>
      </c>
      <c r="X634" s="54" t="s">
        <v>951</v>
      </c>
      <c r="Y634" s="54" t="s">
        <v>334</v>
      </c>
      <c r="Z634" s="56" t="s">
        <v>2765</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2766</v>
      </c>
      <c r="M635" s="47" t="s">
        <v>936</v>
      </c>
      <c r="N635" s="47" t="s">
        <v>1096</v>
      </c>
      <c r="O635" s="46" t="s">
        <v>954</v>
      </c>
      <c r="W635" s="54">
        <v>393</v>
      </c>
      <c r="X635" s="54" t="s">
        <v>951</v>
      </c>
      <c r="Y635" s="54" t="s">
        <v>334</v>
      </c>
      <c r="Z635" s="56" t="s">
        <v>2767</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2768</v>
      </c>
      <c r="M636" s="47" t="s">
        <v>936</v>
      </c>
      <c r="N636" s="47" t="s">
        <v>1096</v>
      </c>
      <c r="O636" s="46" t="s">
        <v>954</v>
      </c>
      <c r="W636" s="54">
        <v>2231</v>
      </c>
      <c r="X636" s="54" t="s">
        <v>951</v>
      </c>
      <c r="Y636" s="54" t="s">
        <v>334</v>
      </c>
      <c r="Z636" s="56" t="s">
        <v>2769</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2770</v>
      </c>
      <c r="M637" s="47" t="s">
        <v>936</v>
      </c>
      <c r="N637" s="47" t="s">
        <v>1096</v>
      </c>
      <c r="O637" s="46" t="s">
        <v>954</v>
      </c>
      <c r="W637" s="54">
        <v>500</v>
      </c>
      <c r="X637" s="54" t="s">
        <v>951</v>
      </c>
      <c r="Y637" s="54" t="s">
        <v>334</v>
      </c>
      <c r="Z637" s="56" t="s">
        <v>2771</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2772</v>
      </c>
      <c r="M638" s="47" t="s">
        <v>936</v>
      </c>
      <c r="N638" s="47" t="s">
        <v>1096</v>
      </c>
      <c r="O638" s="46" t="s">
        <v>954</v>
      </c>
      <c r="W638" s="54">
        <v>2138</v>
      </c>
      <c r="X638" s="54" t="s">
        <v>951</v>
      </c>
      <c r="Y638" s="54" t="s">
        <v>334</v>
      </c>
      <c r="Z638" s="56" t="s">
        <v>2773</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2774</v>
      </c>
      <c r="M639" s="47" t="s">
        <v>936</v>
      </c>
      <c r="N639" s="47" t="s">
        <v>1096</v>
      </c>
      <c r="O639" s="46" t="s">
        <v>954</v>
      </c>
      <c r="W639" s="54">
        <v>506</v>
      </c>
      <c r="X639" s="54" t="s">
        <v>951</v>
      </c>
      <c r="Y639" s="54" t="s">
        <v>334</v>
      </c>
      <c r="Z639" s="56" t="s">
        <v>2775</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2776</v>
      </c>
      <c r="M640" s="47" t="s">
        <v>936</v>
      </c>
      <c r="N640" s="47" t="s">
        <v>1096</v>
      </c>
      <c r="O640" s="46" t="s">
        <v>954</v>
      </c>
      <c r="W640" s="54">
        <v>1703</v>
      </c>
      <c r="X640" s="54" t="s">
        <v>951</v>
      </c>
      <c r="Y640" s="54" t="s">
        <v>334</v>
      </c>
      <c r="Z640" s="56" t="s">
        <v>2777</v>
      </c>
      <c r="AA640" s="56" t="s">
        <v>951</v>
      </c>
      <c r="AB640" s="56" t="s">
        <v>116</v>
      </c>
      <c r="AC640" s="61" t="s">
        <v>945</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2778</v>
      </c>
      <c r="M641" s="47" t="s">
        <v>936</v>
      </c>
      <c r="N641" s="47" t="s">
        <v>1096</v>
      </c>
      <c r="O641" s="46" t="s">
        <v>954</v>
      </c>
      <c r="W641" s="54">
        <v>420</v>
      </c>
      <c r="X641" s="54" t="s">
        <v>951</v>
      </c>
      <c r="Y641" s="54" t="s">
        <v>334</v>
      </c>
      <c r="Z641" s="56" t="s">
        <v>2779</v>
      </c>
      <c r="AA641" s="56" t="s">
        <v>951</v>
      </c>
      <c r="AB641" s="56" t="s">
        <v>116</v>
      </c>
      <c r="AC641" s="61" t="s">
        <v>966</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2780</v>
      </c>
      <c r="M642" s="47" t="s">
        <v>936</v>
      </c>
      <c r="N642" s="47" t="s">
        <v>1096</v>
      </c>
      <c r="O642" s="46" t="s">
        <v>954</v>
      </c>
      <c r="W642" s="54">
        <v>1755</v>
      </c>
      <c r="X642" s="54" t="s">
        <v>951</v>
      </c>
      <c r="Y642" s="54" t="s">
        <v>334</v>
      </c>
      <c r="Z642" s="56" t="s">
        <v>2781</v>
      </c>
      <c r="AA642" s="56" t="s">
        <v>951</v>
      </c>
      <c r="AB642" s="56" t="s">
        <v>116</v>
      </c>
      <c r="AC642" s="61" t="s">
        <v>945</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2782</v>
      </c>
      <c r="M643" s="47" t="s">
        <v>936</v>
      </c>
      <c r="N643" s="47" t="s">
        <v>1096</v>
      </c>
      <c r="O643" s="46" t="s">
        <v>954</v>
      </c>
      <c r="W643" s="54">
        <v>461</v>
      </c>
      <c r="X643" s="54" t="s">
        <v>951</v>
      </c>
      <c r="Y643" s="54" t="s">
        <v>334</v>
      </c>
      <c r="Z643" s="56" t="s">
        <v>2783</v>
      </c>
      <c r="AA643" s="56" t="s">
        <v>951</v>
      </c>
      <c r="AB643" s="56" t="s">
        <v>116</v>
      </c>
      <c r="AC643" s="61" t="s">
        <v>966</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2784</v>
      </c>
      <c r="M644" s="47" t="s">
        <v>936</v>
      </c>
      <c r="N644" s="47" t="s">
        <v>1096</v>
      </c>
      <c r="O644" s="46" t="s">
        <v>954</v>
      </c>
      <c r="W644" s="54">
        <v>1564</v>
      </c>
      <c r="X644" s="54" t="s">
        <v>951</v>
      </c>
      <c r="Y644" s="54" t="s">
        <v>334</v>
      </c>
      <c r="Z644" s="56" t="s">
        <v>2785</v>
      </c>
      <c r="AA644" s="56" t="s">
        <v>951</v>
      </c>
      <c r="AB644" s="56" t="s">
        <v>116</v>
      </c>
      <c r="AC644" s="61" t="s">
        <v>945</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2786</v>
      </c>
      <c r="M645" s="47" t="s">
        <v>936</v>
      </c>
      <c r="N645" s="47" t="s">
        <v>1096</v>
      </c>
      <c r="O645" s="46" t="s">
        <v>954</v>
      </c>
      <c r="W645" s="54">
        <v>426</v>
      </c>
      <c r="X645" s="54" t="s">
        <v>951</v>
      </c>
      <c r="Y645" s="54" t="s">
        <v>334</v>
      </c>
      <c r="Z645" s="56" t="s">
        <v>2787</v>
      </c>
      <c r="AA645" s="56" t="s">
        <v>951</v>
      </c>
      <c r="AB645" s="56" t="s">
        <v>116</v>
      </c>
      <c r="AC645" s="61" t="s">
        <v>966</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427"/>
  <sheetViews>
    <sheetView zoomScale="85" zoomScaleNormal="85" workbookViewId="0">
      <pane ySplit="1" topLeftCell="A9389" activePane="bottomLeft" state="frozen"/>
      <selection pane="bottomLeft" activeCell="A9427" sqref="A9427"/>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1344</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1345</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1346</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1345</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1327</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1328</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1328</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1396</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1397</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1397</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1397</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1397</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1397</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1397</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1397</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1397</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1322</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1323</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1339</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1340</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1341</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1342</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1343</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1342</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2827</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2827</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2827</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2827</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2827</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2827</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2827</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2827</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2827</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1324</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1325</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1326</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1492</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1492</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1492</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1492</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1492</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1492</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1492</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1492</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1492</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1492</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1492</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1492</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1492</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1493</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1940</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1940</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1940</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1940</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1940</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1941</v>
      </c>
      <c r="P5323" s="42" t="s">
        <v>1953</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1941</v>
      </c>
      <c r="P5324" s="42" t="s">
        <v>1953</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1941</v>
      </c>
      <c r="P5325" s="42" t="s">
        <v>1953</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1941</v>
      </c>
      <c r="P5326" s="42" t="s">
        <v>1953</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1941</v>
      </c>
      <c r="P5327" s="42" t="s">
        <v>1953</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1941</v>
      </c>
      <c r="P5328" s="42" t="s">
        <v>1953</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1941</v>
      </c>
      <c r="P5329" s="42" t="s">
        <v>1953</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1941</v>
      </c>
      <c r="P5330" s="42" t="s">
        <v>1953</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1941</v>
      </c>
      <c r="P5331" s="42" t="s">
        <v>1953</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1941</v>
      </c>
      <c r="P5332" s="42" t="s">
        <v>1953</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1941</v>
      </c>
      <c r="P5333" s="42" t="s">
        <v>1953</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1941</v>
      </c>
      <c r="P5334" s="42" t="s">
        <v>1953</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1941</v>
      </c>
      <c r="P5335" s="42" t="s">
        <v>1953</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1941</v>
      </c>
      <c r="P5336" s="42" t="s">
        <v>1953</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1941</v>
      </c>
      <c r="P5337" s="42" t="s">
        <v>1953</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1941</v>
      </c>
      <c r="P5338" s="42" t="s">
        <v>1953</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1941</v>
      </c>
      <c r="P5339" s="42" t="s">
        <v>1953</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1941</v>
      </c>
      <c r="P5340" s="42" t="s">
        <v>1953</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1941</v>
      </c>
      <c r="P5341" s="42" t="s">
        <v>1953</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1941</v>
      </c>
      <c r="P5342" s="42" t="s">
        <v>1953</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1941</v>
      </c>
      <c r="P5343" s="42" t="s">
        <v>1953</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1941</v>
      </c>
      <c r="P5344" s="42" t="s">
        <v>1953</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1941</v>
      </c>
      <c r="P5345" s="42" t="s">
        <v>1953</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1941</v>
      </c>
      <c r="P5346" s="42" t="s">
        <v>1953</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1941</v>
      </c>
      <c r="P5347" s="42" t="s">
        <v>1953</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1943</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1943</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1943</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1943</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1943</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1943</v>
      </c>
      <c r="P5353" s="42" t="s">
        <v>1945</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1943</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1943</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1943</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1943</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1943</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1943</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1943</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1943</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1943</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1943</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1943</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1943</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2873</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2873</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2873</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2873</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2873</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1954</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1946</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1946</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1946</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1946</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1946</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1946</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1946</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1946</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1946</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1946</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1946</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1946</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1946</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1946</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1946</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1946</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1946</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1946</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1946</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1946</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1946</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1946</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1946</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1946</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1946</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1946</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1946</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1946</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1946</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1946</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1946</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1946</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1946</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1946</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1946</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1946</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1946</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1946</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1946</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1946</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1946</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1946</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1946</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1946</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1946</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1942</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1328</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1943</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1943</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1943</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1943</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1943</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1943</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1943</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1943</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1943</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1943</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1943</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1943</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1943</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1943</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1943</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1943</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1943</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1943</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1943</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1943</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1943</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1943</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1943</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1943</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1943</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1943</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1943</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1943</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1943</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1943</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1943</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1943</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1943</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1943</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1943</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1943</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1943</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1943</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1943</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1943</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1943</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1943</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1943</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1943</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1943</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1943</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1943</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1943</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1943</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1943</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1943</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1943</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1943</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1943</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1943</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1944</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1944</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1944</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1944</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1944</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1944</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1944</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1944</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1944</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1944</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1944</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1948</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1948</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1948</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1948</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1948</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1949</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1950</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1952</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2594</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2594</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2594</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2594</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2594</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2594</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2594</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2594</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2594</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2594</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2112</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2176</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2176</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2176</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2176</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2176</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2176</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2176</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2176</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2176</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2176</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2176</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2176</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2176</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2176</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2176</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2594</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2594</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2594</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2594</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2594</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2594</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2594</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2594</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2594</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2594</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2594</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1212</v>
      </c>
      <c r="K7264" s="41" t="s">
        <v>115</v>
      </c>
      <c r="L7264" s="193">
        <v>0.77654230000000002</v>
      </c>
      <c r="M7264" s="52" t="s">
        <v>1212</v>
      </c>
      <c r="N7264" s="52" t="s">
        <v>116</v>
      </c>
      <c r="P7264" s="42" t="s">
        <v>2202</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1212</v>
      </c>
      <c r="K7265" s="41" t="s">
        <v>115</v>
      </c>
      <c r="L7265" s="193">
        <v>0.97565650000000004</v>
      </c>
      <c r="M7265" s="52" t="s">
        <v>1212</v>
      </c>
      <c r="N7265" s="52" t="s">
        <v>116</v>
      </c>
      <c r="P7265" s="42" t="s">
        <v>2202</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1212</v>
      </c>
      <c r="K7266" s="41" t="s">
        <v>115</v>
      </c>
      <c r="L7266" s="193">
        <v>0.75666549999999999</v>
      </c>
      <c r="M7266" s="52" t="s">
        <v>1212</v>
      </c>
      <c r="N7266" s="52" t="s">
        <v>116</v>
      </c>
      <c r="P7266" s="42" t="s">
        <v>2202</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1212</v>
      </c>
      <c r="K7267" s="41" t="s">
        <v>115</v>
      </c>
      <c r="L7267" s="193">
        <v>0.87609970000000004</v>
      </c>
      <c r="M7267" s="52" t="s">
        <v>1212</v>
      </c>
      <c r="N7267" s="52" t="s">
        <v>116</v>
      </c>
      <c r="P7267" s="42" t="s">
        <v>2202</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1212</v>
      </c>
      <c r="K7268" s="41" t="s">
        <v>115</v>
      </c>
      <c r="L7268" s="193">
        <v>0.63709570000000004</v>
      </c>
      <c r="M7268" s="52" t="s">
        <v>1212</v>
      </c>
      <c r="N7268" s="52" t="s">
        <v>116</v>
      </c>
      <c r="P7268" s="42" t="s">
        <v>2202</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1212</v>
      </c>
      <c r="K7269" s="41" t="s">
        <v>115</v>
      </c>
      <c r="L7269" s="193">
        <v>0.27872590000000003</v>
      </c>
      <c r="M7269" s="52" t="s">
        <v>1212</v>
      </c>
      <c r="N7269" s="52" t="s">
        <v>116</v>
      </c>
      <c r="P7269" s="42" t="s">
        <v>2202</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1212</v>
      </c>
      <c r="K7270" s="41" t="s">
        <v>115</v>
      </c>
      <c r="L7270" s="193">
        <v>0.1991136</v>
      </c>
      <c r="M7270" s="52" t="s">
        <v>1212</v>
      </c>
      <c r="N7270" s="52" t="s">
        <v>116</v>
      </c>
      <c r="P7270" s="42" t="s">
        <v>2202</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1212</v>
      </c>
      <c r="K7271" s="41" t="s">
        <v>115</v>
      </c>
      <c r="L7271" s="193">
        <v>1.533207</v>
      </c>
      <c r="M7271" s="52" t="s">
        <v>1212</v>
      </c>
      <c r="N7271" s="52" t="s">
        <v>116</v>
      </c>
      <c r="P7271" s="42" t="s">
        <v>2202</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1212</v>
      </c>
      <c r="K7272" s="41" t="s">
        <v>115</v>
      </c>
      <c r="L7272" s="193">
        <v>1.055302</v>
      </c>
      <c r="M7272" s="52" t="s">
        <v>1212</v>
      </c>
      <c r="N7272" s="52" t="s">
        <v>116</v>
      </c>
      <c r="P7272" s="42" t="s">
        <v>2202</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1212</v>
      </c>
      <c r="K7273" s="41" t="s">
        <v>115</v>
      </c>
      <c r="L7273" s="193">
        <v>0.93580010000000002</v>
      </c>
      <c r="M7273" s="52" t="s">
        <v>1212</v>
      </c>
      <c r="N7273" s="52" t="s">
        <v>116</v>
      </c>
      <c r="P7273" s="42" t="s">
        <v>2202</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1212</v>
      </c>
      <c r="K7274" s="41" t="s">
        <v>115</v>
      </c>
      <c r="L7274" s="193">
        <v>0.83631040000000001</v>
      </c>
      <c r="M7274" s="52" t="s">
        <v>1212</v>
      </c>
      <c r="N7274" s="52" t="s">
        <v>116</v>
      </c>
      <c r="P7274" s="42" t="s">
        <v>2202</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1212</v>
      </c>
      <c r="K7275" s="41" t="s">
        <v>115</v>
      </c>
      <c r="L7275" s="193">
        <v>0.63716289999999998</v>
      </c>
      <c r="M7275" s="52" t="s">
        <v>1212</v>
      </c>
      <c r="N7275" s="52" t="s">
        <v>116</v>
      </c>
      <c r="P7275" s="42" t="s">
        <v>2202</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1212</v>
      </c>
      <c r="K7276" s="41" t="s">
        <v>115</v>
      </c>
      <c r="L7276" s="193">
        <v>0.43801590000000001</v>
      </c>
      <c r="M7276" s="52" t="s">
        <v>1212</v>
      </c>
      <c r="N7276" s="52" t="s">
        <v>116</v>
      </c>
      <c r="P7276" s="42" t="s">
        <v>2202</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1212</v>
      </c>
      <c r="K7277" s="41" t="s">
        <v>115</v>
      </c>
      <c r="L7277" s="193">
        <v>0.2787925</v>
      </c>
      <c r="M7277" s="52" t="s">
        <v>1212</v>
      </c>
      <c r="N7277" s="52" t="s">
        <v>116</v>
      </c>
      <c r="P7277" s="42" t="s">
        <v>2202</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1212</v>
      </c>
      <c r="K7278" s="41" t="s">
        <v>115</v>
      </c>
      <c r="L7278" s="193">
        <v>0.4588739</v>
      </c>
      <c r="M7278" s="52" t="s">
        <v>1212</v>
      </c>
      <c r="N7278" s="52" t="s">
        <v>116</v>
      </c>
      <c r="P7278" s="42" t="s">
        <v>2202</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1212</v>
      </c>
      <c r="K7279" s="41" t="s">
        <v>115</v>
      </c>
      <c r="L7279" s="193">
        <v>0.61861849999999996</v>
      </c>
      <c r="M7279" s="52" t="s">
        <v>1212</v>
      </c>
      <c r="N7279" s="52" t="s">
        <v>116</v>
      </c>
      <c r="P7279" s="42" t="s">
        <v>2202</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1212</v>
      </c>
      <c r="K7280" s="41" t="s">
        <v>115</v>
      </c>
      <c r="L7280" s="193">
        <v>0.75840739999999995</v>
      </c>
      <c r="M7280" s="52" t="s">
        <v>1212</v>
      </c>
      <c r="N7280" s="52" t="s">
        <v>116</v>
      </c>
      <c r="P7280" s="42" t="s">
        <v>2202</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1212</v>
      </c>
      <c r="K7281" s="41" t="s">
        <v>115</v>
      </c>
      <c r="L7281" s="193">
        <v>0.93810729999999998</v>
      </c>
      <c r="M7281" s="52" t="s">
        <v>1212</v>
      </c>
      <c r="N7281" s="52" t="s">
        <v>116</v>
      </c>
      <c r="P7281" s="42" t="s">
        <v>2202</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1212</v>
      </c>
      <c r="K7282" s="41" t="s">
        <v>115</v>
      </c>
      <c r="L7282" s="193">
        <v>0.83822940000000001</v>
      </c>
      <c r="M7282" s="52" t="s">
        <v>1212</v>
      </c>
      <c r="N7282" s="52" t="s">
        <v>116</v>
      </c>
      <c r="P7282" s="42" t="s">
        <v>2202</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1212</v>
      </c>
      <c r="K7283" s="41" t="s">
        <v>115</v>
      </c>
      <c r="L7283" s="193">
        <v>0.69854070000000001</v>
      </c>
      <c r="M7283" s="52" t="s">
        <v>1212</v>
      </c>
      <c r="N7283" s="52" t="s">
        <v>116</v>
      </c>
      <c r="P7283" s="42" t="s">
        <v>2202</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1212</v>
      </c>
      <c r="K7284" s="41" t="s">
        <v>115</v>
      </c>
      <c r="L7284" s="193">
        <v>0.53879670000000002</v>
      </c>
      <c r="M7284" s="52" t="s">
        <v>1212</v>
      </c>
      <c r="N7284" s="52" t="s">
        <v>116</v>
      </c>
      <c r="P7284" s="42" t="s">
        <v>2202</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1212</v>
      </c>
      <c r="K7285" s="41" t="s">
        <v>115</v>
      </c>
      <c r="L7285" s="193">
        <v>0.39920949999999999</v>
      </c>
      <c r="M7285" s="52" t="s">
        <v>1212</v>
      </c>
      <c r="N7285" s="52" t="s">
        <v>116</v>
      </c>
      <c r="P7285" s="42" t="s">
        <v>2202</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1212</v>
      </c>
      <c r="K7286" s="41" t="s">
        <v>115</v>
      </c>
      <c r="L7286" s="193">
        <v>0.67838379999999998</v>
      </c>
      <c r="M7286" s="52" t="s">
        <v>1212</v>
      </c>
      <c r="N7286" s="52" t="s">
        <v>116</v>
      </c>
      <c r="P7286" s="42" t="s">
        <v>2202</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1212</v>
      </c>
      <c r="K7287" s="41" t="s">
        <v>115</v>
      </c>
      <c r="L7287" s="193">
        <v>2.1352310000000001</v>
      </c>
      <c r="M7287" s="52" t="s">
        <v>1212</v>
      </c>
      <c r="N7287" s="52" t="s">
        <v>116</v>
      </c>
      <c r="P7287" s="42" t="s">
        <v>2202</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1212</v>
      </c>
      <c r="K7288" s="41" t="s">
        <v>115</v>
      </c>
      <c r="L7288" s="193">
        <v>0.71839620000000004</v>
      </c>
      <c r="M7288" s="52" t="s">
        <v>1212</v>
      </c>
      <c r="N7288" s="52" t="s">
        <v>116</v>
      </c>
      <c r="P7288" s="42" t="s">
        <v>2202</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1212</v>
      </c>
      <c r="K7289" s="41" t="s">
        <v>115</v>
      </c>
      <c r="L7289" s="193">
        <v>0.57870770000000005</v>
      </c>
      <c r="M7289" s="52" t="s">
        <v>1212</v>
      </c>
      <c r="N7289" s="52" t="s">
        <v>116</v>
      </c>
      <c r="P7289" s="42" t="s">
        <v>2202</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1212</v>
      </c>
      <c r="K7290" s="41" t="s">
        <v>115</v>
      </c>
      <c r="L7290" s="193">
        <v>1.0776939999999999</v>
      </c>
      <c r="M7290" s="52" t="s">
        <v>1212</v>
      </c>
      <c r="N7290" s="52" t="s">
        <v>116</v>
      </c>
      <c r="P7290" s="42" t="s">
        <v>2202</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1212</v>
      </c>
      <c r="K7291" s="41" t="s">
        <v>115</v>
      </c>
      <c r="L7291" s="193">
        <v>0.65863039999999995</v>
      </c>
      <c r="M7291" s="52" t="s">
        <v>1212</v>
      </c>
      <c r="N7291" s="52" t="s">
        <v>116</v>
      </c>
      <c r="P7291" s="42" t="s">
        <v>2202</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1212</v>
      </c>
      <c r="K7292" s="41" t="s">
        <v>115</v>
      </c>
      <c r="L7292" s="193">
        <v>0.71839520000000001</v>
      </c>
      <c r="M7292" s="52" t="s">
        <v>1212</v>
      </c>
      <c r="N7292" s="52" t="s">
        <v>116</v>
      </c>
      <c r="P7292" s="42" t="s">
        <v>2202</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1212</v>
      </c>
      <c r="K7293" s="41" t="s">
        <v>115</v>
      </c>
      <c r="L7293" s="193">
        <v>0.73835090000000003</v>
      </c>
      <c r="M7293" s="52" t="s">
        <v>1212</v>
      </c>
      <c r="N7293" s="52" t="s">
        <v>116</v>
      </c>
      <c r="P7293" s="42" t="s">
        <v>2202</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2212</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2212</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2212</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2212</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2212</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2212</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2212</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2212</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2212</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2212</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2212</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2212</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2212</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2212</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2212</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2212</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2212</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2212</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2212</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2212</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2212</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2212</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2212</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2212</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2212</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2212</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2212</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2212</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2212</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2212</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2212</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2212</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2212</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2212</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2212</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2212</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2212</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2212</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2212</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2212</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2212</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2212</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2212</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2212</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2212</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2212</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2212</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2212</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2212</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2212</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2212</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2212</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2212</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2212</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2212</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2212</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2212</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2212</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2212</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2212</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2212</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2212</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2212</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2212</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2212</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2212</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2212</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2212</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2212</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2212</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2212</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2212</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2212</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2212</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2212</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2212</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2212</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2212</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2212</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2212</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2212</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2212</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2212</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2212</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2212</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2212</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2212</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2212</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2212</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2212</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2212</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2212</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2212</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2212</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2212</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2212</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2212</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2212</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2212</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2212</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2212</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2212</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2212</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2212</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2212</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2212</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2212</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2212</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2212</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2212</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2212</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2212</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2212</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2212</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2212</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2212</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2212</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2212</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2212</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2212</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2212</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2212</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2212</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2212</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2212</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2212</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2212</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2212</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2212</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2212</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2212</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2212</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2212</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2212</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2212</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2212</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2212</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2212</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2212</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2212</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2212</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2212</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2212</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2212</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2212</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2212</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2212</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2212</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2212</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2212</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2212</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2212</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2212</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2212</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2212</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2212</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2212</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2212</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2212</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2212</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2212</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2212</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2212</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2212</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2212</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2212</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2212</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2212</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2212</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2212</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2212</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2212</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2212</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2212</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2212</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2212</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2212</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2212</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2212</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2212</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2212</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2212</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2212</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2212</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2212</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2212</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2212</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2212</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2212</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2212</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2212</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2212</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2212</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2212</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2212</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2212</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2212</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2212</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2212</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2212</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2212</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2212</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2212</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2212</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2212</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2212</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2212</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2212</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2212</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2212</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2212</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2212</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2212</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2212</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2212</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2212</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2212</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2212</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2212</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2212</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2212</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2212</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2212</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2212</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2212</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2212</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2212</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2212</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2212</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2212</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2212</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2212</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2212</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2212</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2212</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2212</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2212</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2212</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2212</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2212</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2799</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2799</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2799</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2799</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2799</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2799</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2799</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2575</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2575</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2575</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2575</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2575</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2575</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2576</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2575</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2575</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2575</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2577</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2578</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2579</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2580</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2581</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2582</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2577</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2583</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2584</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2585</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2575</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2586</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2600</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2600</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2600</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2600</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2600</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2600</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2600</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2600</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2600</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2600</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2601</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2602</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2603</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2603</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2604</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2603</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2603</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2601</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2605</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2606</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2607</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2608</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2609</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2608</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2608</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2606</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2606</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2606</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2608</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2608</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2608</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2606</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2608</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2608</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2608</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2608</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2608</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2574</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2574</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2574</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2574</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2574</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2587</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2588</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2589</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2575</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2575</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2592</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2595</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2596</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2596</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2597</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2596</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2598</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2596</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2596</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2596</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2599</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2596</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2596</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2596</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2596</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2594</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2594</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2594</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2594</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2594</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2594</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2594</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2594</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2594</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2594</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2594</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2590</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2591</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2819</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2819</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2819</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2819</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2819</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2819</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2819</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2819</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2819</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2819</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2819</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2819</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2819</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2819</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2819</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2819</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2819</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2819</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2819</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2819</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2819</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2819</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2819</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2819</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2819</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2819</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2819</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2819</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2819</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2819</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2819</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2819</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2819</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2819</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2819</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2819</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2819</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2819</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2819</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2819</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2819</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2819</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2819</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2819</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2819</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2819</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2819</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2819</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2819</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2819</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2819</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2819</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2819</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2819</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2819</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2819</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2819</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2819</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2819</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2819</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2819</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2819</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2819</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2819</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2819</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2819</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2819</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2819</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2819</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2819</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2819</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2819</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2611</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2612</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2611</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2612</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1212</v>
      </c>
      <c r="K8732" s="41" t="s">
        <v>334</v>
      </c>
      <c r="L8732" s="193">
        <v>1.523725</v>
      </c>
      <c r="M8732" s="52" t="s">
        <v>1212</v>
      </c>
      <c r="N8732" s="52" t="s">
        <v>116</v>
      </c>
      <c r="O8732" s="197">
        <v>3.3424694164048397E-3</v>
      </c>
      <c r="P8732" s="42" t="s">
        <v>2610</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1212</v>
      </c>
      <c r="K8733" s="41" t="s">
        <v>334</v>
      </c>
      <c r="L8733" s="193">
        <v>1.6331450000000001</v>
      </c>
      <c r="M8733" s="52" t="s">
        <v>1212</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1212</v>
      </c>
      <c r="K8734" s="41" t="s">
        <v>334</v>
      </c>
      <c r="L8734" s="193">
        <v>1.1823109999999999</v>
      </c>
      <c r="M8734" s="52" t="s">
        <v>1212</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1212</v>
      </c>
      <c r="K8735" s="41" t="s">
        <v>334</v>
      </c>
      <c r="L8735" s="193">
        <v>1.22963</v>
      </c>
      <c r="M8735" s="52" t="s">
        <v>1212</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1212</v>
      </c>
      <c r="K8736" s="41" t="s">
        <v>334</v>
      </c>
      <c r="L8736" s="193">
        <v>1.1959070000000001</v>
      </c>
      <c r="M8736" s="52" t="s">
        <v>1212</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1212</v>
      </c>
      <c r="K8737" s="41" t="s">
        <v>334</v>
      </c>
      <c r="L8737" s="193">
        <v>1.3391139999999999</v>
      </c>
      <c r="M8737" s="52" t="s">
        <v>1212</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1212</v>
      </c>
      <c r="K8738" s="41" t="s">
        <v>334</v>
      </c>
      <c r="L8738" s="193">
        <v>1.337272</v>
      </c>
      <c r="M8738" s="52" t="s">
        <v>1212</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1212</v>
      </c>
      <c r="K8739" s="41" t="s">
        <v>334</v>
      </c>
      <c r="L8739" s="193">
        <v>0.99584289999999998</v>
      </c>
      <c r="M8739" s="52" t="s">
        <v>1212</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1212</v>
      </c>
      <c r="K8740" s="41" t="s">
        <v>334</v>
      </c>
      <c r="L8740" s="193">
        <v>1.1450629999999999</v>
      </c>
      <c r="M8740" s="52" t="s">
        <v>1212</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1212</v>
      </c>
      <c r="K8741" s="41" t="s">
        <v>334</v>
      </c>
      <c r="L8741" s="193">
        <v>1.201306</v>
      </c>
      <c r="M8741" s="52" t="s">
        <v>1212</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1212</v>
      </c>
      <c r="K8742" s="41" t="s">
        <v>334</v>
      </c>
      <c r="L8742" s="193">
        <v>0.74478719999999998</v>
      </c>
      <c r="M8742" s="52" t="s">
        <v>1212</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1212</v>
      </c>
      <c r="K8743" s="41" t="s">
        <v>334</v>
      </c>
      <c r="L8743" s="193">
        <v>1.030346</v>
      </c>
      <c r="M8743" s="52" t="s">
        <v>1212</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1212</v>
      </c>
      <c r="K8744" s="41" t="s">
        <v>334</v>
      </c>
      <c r="L8744" s="193">
        <v>0.98796649999999997</v>
      </c>
      <c r="M8744" s="52" t="s">
        <v>1212</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1212</v>
      </c>
      <c r="K8745" s="41" t="s">
        <v>334</v>
      </c>
      <c r="L8745" s="193">
        <v>1.0349520000000001</v>
      </c>
      <c r="M8745" s="52" t="s">
        <v>1212</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1212</v>
      </c>
      <c r="K8746" s="41" t="s">
        <v>334</v>
      </c>
      <c r="L8746" s="193">
        <v>1.0087550000000001</v>
      </c>
      <c r="M8746" s="52" t="s">
        <v>1212</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1212</v>
      </c>
      <c r="K8747" s="41" t="s">
        <v>334</v>
      </c>
      <c r="L8747" s="193">
        <v>0.19424140000000001</v>
      </c>
      <c r="M8747" s="52" t="s">
        <v>1212</v>
      </c>
      <c r="N8747" s="52" t="s">
        <v>116</v>
      </c>
      <c r="O8747" s="197"/>
      <c r="P8747" s="42" t="s">
        <v>2610</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1212</v>
      </c>
      <c r="K8748" s="41" t="s">
        <v>334</v>
      </c>
      <c r="L8748" s="193">
        <v>0.14744969999999999</v>
      </c>
      <c r="M8748" s="52" t="s">
        <v>1212</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1212</v>
      </c>
      <c r="K8749" s="41" t="s">
        <v>334</v>
      </c>
      <c r="L8749" s="193">
        <v>0.139151</v>
      </c>
      <c r="M8749" s="52" t="s">
        <v>1212</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1212</v>
      </c>
      <c r="K8750" s="41" t="s">
        <v>334</v>
      </c>
      <c r="L8750" s="193">
        <v>0.122395</v>
      </c>
      <c r="M8750" s="52" t="s">
        <v>1212</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1212</v>
      </c>
      <c r="K8751" s="41" t="s">
        <v>334</v>
      </c>
      <c r="L8751" s="193">
        <v>0.1020528</v>
      </c>
      <c r="M8751" s="52" t="s">
        <v>1212</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1212</v>
      </c>
      <c r="K8752" s="41" t="s">
        <v>334</v>
      </c>
      <c r="L8752" s="193">
        <v>0.16640379999999999</v>
      </c>
      <c r="M8752" s="52" t="s">
        <v>1212</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1212</v>
      </c>
      <c r="K8753" s="41" t="s">
        <v>334</v>
      </c>
      <c r="L8753" s="193">
        <v>0.15932689999999999</v>
      </c>
      <c r="M8753" s="52" t="s">
        <v>1212</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1212</v>
      </c>
      <c r="K8754" s="41" t="s">
        <v>334</v>
      </c>
      <c r="L8754" s="193">
        <v>0.1737901</v>
      </c>
      <c r="M8754" s="52" t="s">
        <v>1212</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1212</v>
      </c>
      <c r="K8755" s="41" t="s">
        <v>334</v>
      </c>
      <c r="L8755" s="193">
        <v>0.1361609</v>
      </c>
      <c r="M8755" s="52" t="s">
        <v>1212</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1212</v>
      </c>
      <c r="K8756" s="41" t="s">
        <v>334</v>
      </c>
      <c r="L8756" s="193">
        <v>0.1646039</v>
      </c>
      <c r="M8756" s="52" t="s">
        <v>1212</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1212</v>
      </c>
      <c r="K8757" s="41" t="s">
        <v>334</v>
      </c>
      <c r="L8757" s="193">
        <v>0.14744969999999999</v>
      </c>
      <c r="M8757" s="52" t="s">
        <v>1212</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1212</v>
      </c>
      <c r="K8758" s="41" t="s">
        <v>334</v>
      </c>
      <c r="L8758" s="193">
        <v>0.14789830000000001</v>
      </c>
      <c r="M8758" s="52" t="s">
        <v>1212</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1212</v>
      </c>
      <c r="K8759" s="41" t="s">
        <v>334</v>
      </c>
      <c r="L8759" s="193">
        <v>0.17882580000000001</v>
      </c>
      <c r="M8759" s="52" t="s">
        <v>1212</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1212</v>
      </c>
      <c r="K8760" s="41" t="s">
        <v>334</v>
      </c>
      <c r="L8760" s="193">
        <v>0.16106690000000001</v>
      </c>
      <c r="M8760" s="52" t="s">
        <v>1212</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1212</v>
      </c>
      <c r="K8761" s="41" t="s">
        <v>334</v>
      </c>
      <c r="L8761" s="193">
        <v>0.16789809999999999</v>
      </c>
      <c r="M8761" s="52" t="s">
        <v>1212</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1212</v>
      </c>
      <c r="K8762" s="41" t="s">
        <v>334</v>
      </c>
      <c r="L8762" s="193">
        <v>0.27632190000000001</v>
      </c>
      <c r="M8762" s="52" t="s">
        <v>1212</v>
      </c>
      <c r="N8762" s="52" t="s">
        <v>116</v>
      </c>
      <c r="O8762" s="197"/>
      <c r="P8762" s="42" t="s">
        <v>2610</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1212</v>
      </c>
      <c r="K8763" s="41" t="s">
        <v>334</v>
      </c>
      <c r="L8763" s="193">
        <v>0.24170620000000001</v>
      </c>
      <c r="M8763" s="52" t="s">
        <v>1212</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1212</v>
      </c>
      <c r="K8764" s="41" t="s">
        <v>334</v>
      </c>
      <c r="L8764" s="193">
        <v>0.25921290000000002</v>
      </c>
      <c r="M8764" s="52" t="s">
        <v>1212</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1212</v>
      </c>
      <c r="K8765" s="41" t="s">
        <v>334</v>
      </c>
      <c r="L8765" s="193">
        <v>0.29162510000000003</v>
      </c>
      <c r="M8765" s="193" t="s">
        <v>1212</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1212</v>
      </c>
      <c r="K8766" s="41" t="s">
        <v>334</v>
      </c>
      <c r="L8766" s="193">
        <v>0.2212065</v>
      </c>
      <c r="M8766" s="193" t="s">
        <v>1212</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1212</v>
      </c>
      <c r="K8767" s="41" t="s">
        <v>334</v>
      </c>
      <c r="L8767" s="193">
        <v>0.26049990000000001</v>
      </c>
      <c r="M8767" s="193" t="s">
        <v>1212</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1212</v>
      </c>
      <c r="K8768" s="41" t="s">
        <v>334</v>
      </c>
      <c r="L8768" s="193">
        <v>0.27081050000000001</v>
      </c>
      <c r="M8768" s="193" t="s">
        <v>1212</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1212</v>
      </c>
      <c r="K8769" s="41" t="s">
        <v>334</v>
      </c>
      <c r="L8769" s="193">
        <v>0.28157850000000001</v>
      </c>
      <c r="M8769" s="193" t="s">
        <v>1212</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1212</v>
      </c>
      <c r="K8770" s="41" t="s">
        <v>334</v>
      </c>
      <c r="L8770" s="193">
        <v>0.2750378</v>
      </c>
      <c r="M8770" s="193" t="s">
        <v>1212</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1212</v>
      </c>
      <c r="K8771" s="41" t="s">
        <v>334</v>
      </c>
      <c r="L8771" s="193">
        <v>0.29526469999999999</v>
      </c>
      <c r="M8771" s="193" t="s">
        <v>1212</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1212</v>
      </c>
      <c r="K8772" s="41" t="s">
        <v>334</v>
      </c>
      <c r="L8772" s="193">
        <v>0.33380900000000002</v>
      </c>
      <c r="M8772" s="193" t="s">
        <v>1212</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1212</v>
      </c>
      <c r="K8773" s="41" t="s">
        <v>334</v>
      </c>
      <c r="L8773" s="193">
        <v>0.29220279999999998</v>
      </c>
      <c r="M8773" s="193" t="s">
        <v>1212</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1212</v>
      </c>
      <c r="K8774" s="41" t="s">
        <v>334</v>
      </c>
      <c r="L8774" s="193">
        <v>0.26590859999999999</v>
      </c>
      <c r="M8774" s="193" t="s">
        <v>1212</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1212</v>
      </c>
      <c r="K8775" s="41" t="s">
        <v>334</v>
      </c>
      <c r="L8775" s="193">
        <v>0.267683</v>
      </c>
      <c r="M8775" s="193" t="s">
        <v>1212</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1212</v>
      </c>
      <c r="K8776" s="41" t="s">
        <v>334</v>
      </c>
      <c r="L8776" s="193">
        <v>0.2845529</v>
      </c>
      <c r="M8776" s="193" t="s">
        <v>1212</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2754</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2754</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2754</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2754</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2754</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2754</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2754</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1212</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1212</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1212</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1212</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1212</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1212</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1212</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1212</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1212</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1212</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1212</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1212</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1212</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1212</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1212</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1212</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1212</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1212</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1212</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1212</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1212</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1212</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1212</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1212</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1212</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1212</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1212</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1212</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1212</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1212</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1212</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1212</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1212</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1212</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1212</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1212</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1212</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1212</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1212</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1212</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1212</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1212</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1212</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1212</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1212</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1212</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1212</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1212</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1212</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1212</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1212</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1212</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1212</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1212</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1212</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1212</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1212</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1212</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1212</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1212</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1212</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1212</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1212</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1212</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2893</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2893</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3006</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3006</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3006</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3006</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3006</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3006</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3006</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3006</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3006</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3006</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15</v>
      </c>
      <c r="H9407" s="50" t="s">
        <v>950</v>
      </c>
      <c r="I9407" s="185">
        <v>207.64840000000001</v>
      </c>
      <c r="J9407" s="41" t="s">
        <v>938</v>
      </c>
      <c r="K9407" s="41" t="s">
        <v>238</v>
      </c>
      <c r="P9407" s="186" t="s">
        <v>3006</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30</v>
      </c>
      <c r="H9408" s="50" t="s">
        <v>950</v>
      </c>
      <c r="I9408" s="185">
        <v>121.85</v>
      </c>
      <c r="J9408" s="41" t="s">
        <v>938</v>
      </c>
      <c r="K9408" s="41" t="s">
        <v>238</v>
      </c>
      <c r="P9408" s="186" t="s">
        <v>3006</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60</v>
      </c>
      <c r="H9409" s="50" t="s">
        <v>950</v>
      </c>
      <c r="I9409" s="185">
        <v>74.532430000000005</v>
      </c>
      <c r="J9409" s="41" t="s">
        <v>938</v>
      </c>
      <c r="K9409" s="41" t="s">
        <v>238</v>
      </c>
      <c r="P9409" s="186" t="s">
        <v>3006</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90</v>
      </c>
      <c r="H9410" s="50" t="s">
        <v>950</v>
      </c>
      <c r="I9410" s="185">
        <v>46.855559999999997</v>
      </c>
      <c r="J9410" s="41" t="s">
        <v>938</v>
      </c>
      <c r="K9410" s="41" t="s">
        <v>238</v>
      </c>
      <c r="P9410" s="186" t="s">
        <v>3006</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120</v>
      </c>
      <c r="H9411" s="50" t="s">
        <v>950</v>
      </c>
      <c r="I9411" s="185">
        <v>38.72251</v>
      </c>
      <c r="J9411" s="41" t="s">
        <v>938</v>
      </c>
      <c r="K9411" s="41" t="s">
        <v>238</v>
      </c>
      <c r="P9411" s="186" t="s">
        <v>3006</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180</v>
      </c>
      <c r="H9412" s="50" t="s">
        <v>950</v>
      </c>
      <c r="I9412" s="185">
        <v>29.912279999999999</v>
      </c>
      <c r="J9412" s="41" t="s">
        <v>938</v>
      </c>
      <c r="K9412" s="41" t="s">
        <v>238</v>
      </c>
      <c r="P9412" s="186" t="s">
        <v>3006</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240</v>
      </c>
      <c r="H9413" s="50" t="s">
        <v>950</v>
      </c>
      <c r="I9413" s="185">
        <v>29.55565</v>
      </c>
      <c r="J9413" s="41" t="s">
        <v>938</v>
      </c>
      <c r="K9413" s="41" t="s">
        <v>238</v>
      </c>
      <c r="P9413" s="186" t="s">
        <v>3006</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300</v>
      </c>
      <c r="H9414" s="50" t="s">
        <v>950</v>
      </c>
      <c r="I9414" s="185">
        <v>28.805569999999999</v>
      </c>
      <c r="J9414" s="41" t="s">
        <v>938</v>
      </c>
      <c r="K9414" s="41" t="s">
        <v>238</v>
      </c>
      <c r="P9414" s="186" t="s">
        <v>3006</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360</v>
      </c>
      <c r="H9415" s="50" t="s">
        <v>950</v>
      </c>
      <c r="I9415" s="185">
        <v>18.882480000000001</v>
      </c>
      <c r="J9415" s="41" t="s">
        <v>938</v>
      </c>
      <c r="K9415" s="41" t="s">
        <v>238</v>
      </c>
      <c r="P9415" s="186" t="s">
        <v>3006</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420</v>
      </c>
      <c r="H9416" s="50" t="s">
        <v>950</v>
      </c>
      <c r="I9416" s="185">
        <v>13.073449999999999</v>
      </c>
      <c r="J9416" s="41" t="s">
        <v>938</v>
      </c>
      <c r="K9416" s="41" t="s">
        <v>238</v>
      </c>
      <c r="P9416" s="186" t="s">
        <v>3006</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480</v>
      </c>
      <c r="H9417" s="50" t="s">
        <v>950</v>
      </c>
      <c r="I9417" s="185">
        <v>9.5605840000000004</v>
      </c>
      <c r="J9417" s="41" t="s">
        <v>938</v>
      </c>
      <c r="K9417" s="41" t="s">
        <v>238</v>
      </c>
      <c r="P9417" s="186" t="s">
        <v>3006</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162">
        <v>10</v>
      </c>
      <c r="H9418" s="50" t="s">
        <v>950</v>
      </c>
      <c r="I9418" s="185">
        <v>326.00959999999998</v>
      </c>
      <c r="J9418" s="41" t="s">
        <v>938</v>
      </c>
      <c r="K9418" s="41" t="s">
        <v>238</v>
      </c>
      <c r="P9418" s="186" t="s">
        <v>3006</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162">
        <v>15</v>
      </c>
      <c r="H9419" s="50" t="s">
        <v>950</v>
      </c>
      <c r="I9419" s="185">
        <v>241.3586</v>
      </c>
      <c r="J9419" s="41" t="s">
        <v>938</v>
      </c>
      <c r="K9419" s="41" t="s">
        <v>238</v>
      </c>
      <c r="P9419" s="186" t="s">
        <v>3006</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30</v>
      </c>
      <c r="H9420" s="50" t="s">
        <v>950</v>
      </c>
      <c r="I9420" s="185">
        <v>176.29519999999999</v>
      </c>
      <c r="J9420" s="41" t="s">
        <v>938</v>
      </c>
      <c r="K9420" s="41" t="s">
        <v>238</v>
      </c>
      <c r="P9420" s="186" t="s">
        <v>3006</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162">
        <v>60</v>
      </c>
      <c r="H9421" s="50" t="s">
        <v>950</v>
      </c>
      <c r="I9421" s="185">
        <v>117.0552</v>
      </c>
      <c r="J9421" s="41" t="s">
        <v>938</v>
      </c>
      <c r="K9421" s="41" t="s">
        <v>238</v>
      </c>
      <c r="P9421" s="186" t="s">
        <v>3006</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90</v>
      </c>
      <c r="H9422" s="50" t="s">
        <v>950</v>
      </c>
      <c r="I9422" s="185">
        <v>90.347849999999994</v>
      </c>
      <c r="J9422" s="41" t="s">
        <v>938</v>
      </c>
      <c r="K9422" s="41" t="s">
        <v>238</v>
      </c>
      <c r="P9422" s="186" t="s">
        <v>3006</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162">
        <v>120</v>
      </c>
      <c r="H9423" s="50" t="s">
        <v>950</v>
      </c>
      <c r="I9423" s="185">
        <v>47.62191</v>
      </c>
      <c r="J9423" s="41" t="s">
        <v>938</v>
      </c>
      <c r="K9423" s="41" t="s">
        <v>238</v>
      </c>
      <c r="P9423" s="186" t="s">
        <v>3006</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162">
        <v>180</v>
      </c>
      <c r="H9424" s="50" t="s">
        <v>950</v>
      </c>
      <c r="I9424" s="185">
        <v>32.079509999999999</v>
      </c>
      <c r="J9424" s="41" t="s">
        <v>938</v>
      </c>
      <c r="K9424" s="41" t="s">
        <v>238</v>
      </c>
      <c r="P9424" s="186" t="s">
        <v>3006</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162">
        <v>240</v>
      </c>
      <c r="H9425" s="50" t="s">
        <v>950</v>
      </c>
      <c r="I9425" s="185">
        <v>23.141719999999999</v>
      </c>
      <c r="J9425" s="41" t="s">
        <v>938</v>
      </c>
      <c r="K9425" s="41" t="s">
        <v>238</v>
      </c>
      <c r="P9425" s="186" t="s">
        <v>3006</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162">
        <v>300</v>
      </c>
      <c r="H9426" s="50" t="s">
        <v>950</v>
      </c>
      <c r="I9426" s="185">
        <v>16.694669999999999</v>
      </c>
      <c r="J9426" s="41" t="s">
        <v>938</v>
      </c>
      <c r="K9426" s="41" t="s">
        <v>238</v>
      </c>
      <c r="P9426" s="186" t="s">
        <v>3006</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162">
        <v>360</v>
      </c>
      <c r="H9427" s="50" t="s">
        <v>950</v>
      </c>
      <c r="I9427" s="185">
        <v>16.952030000000001</v>
      </c>
      <c r="J9427" s="41" t="s">
        <v>938</v>
      </c>
      <c r="K9427" s="41" t="s">
        <v>238</v>
      </c>
      <c r="P9427" s="186" t="s">
        <v>3006</v>
      </c>
    </row>
  </sheetData>
  <autoFilter ref="A1:Q9427"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zoomScale="80" zoomScaleNormal="80" workbookViewId="0">
      <pane xSplit="4" ySplit="1" topLeftCell="Q2" activePane="bottomRight" state="frozen"/>
      <selection pane="topRight" activeCell="E1" sqref="E1"/>
      <selection pane="bottomLeft" activeCell="A2" sqref="A2"/>
      <selection pane="bottomRight" activeCell="W184" sqref="W184"/>
    </sheetView>
  </sheetViews>
  <sheetFormatPr defaultColWidth="11" defaultRowHeight="12.75" x14ac:dyDescent="0.2"/>
  <cols>
    <col min="1" max="1" width="5.125" style="30" bestFit="1" customWidth="1"/>
    <col min="2" max="2" width="19.125" style="97" customWidth="1"/>
    <col min="3" max="3" width="25.5" style="97" customWidth="1"/>
    <col min="4" max="4" width="38.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181"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176" bestFit="1" customWidth="1"/>
    <col min="31" max="31" width="23.625" style="23" bestFit="1" customWidth="1"/>
    <col min="32" max="32" width="27.75" style="177"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1076</v>
      </c>
      <c r="C1" s="96" t="s">
        <v>13</v>
      </c>
      <c r="D1" s="95" t="s">
        <v>14</v>
      </c>
      <c r="E1" s="102" t="s">
        <v>1399</v>
      </c>
      <c r="F1" s="36" t="s">
        <v>1077</v>
      </c>
      <c r="G1" s="104" t="s">
        <v>1400</v>
      </c>
      <c r="H1" s="67" t="s">
        <v>1078</v>
      </c>
      <c r="I1" s="104" t="s">
        <v>16</v>
      </c>
      <c r="J1" s="31" t="s">
        <v>1079</v>
      </c>
      <c r="K1" s="31" t="s">
        <v>1080</v>
      </c>
      <c r="L1" s="201" t="s">
        <v>1081</v>
      </c>
      <c r="M1" s="201" t="s">
        <v>1082</v>
      </c>
      <c r="N1" s="51" t="s">
        <v>1083</v>
      </c>
      <c r="O1" s="51" t="s">
        <v>1084</v>
      </c>
      <c r="P1" s="63" t="s">
        <v>1085</v>
      </c>
      <c r="Q1" s="63" t="s">
        <v>1086</v>
      </c>
      <c r="R1" s="32" t="s">
        <v>1087</v>
      </c>
      <c r="S1" s="33" t="s">
        <v>1088</v>
      </c>
      <c r="T1" s="34" t="s">
        <v>1089</v>
      </c>
      <c r="U1" s="35" t="s">
        <v>1090</v>
      </c>
      <c r="V1" s="36" t="s">
        <v>912</v>
      </c>
      <c r="W1" s="29" t="s">
        <v>934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1099</v>
      </c>
      <c r="L2" s="201"/>
      <c r="M2" s="201"/>
      <c r="N2" s="193">
        <v>2.5588235294117645</v>
      </c>
      <c r="O2" s="193" t="s">
        <v>1099</v>
      </c>
      <c r="P2" s="202"/>
      <c r="Q2" s="202"/>
      <c r="R2" s="182">
        <v>0</v>
      </c>
      <c r="S2" s="183" t="s">
        <v>935</v>
      </c>
      <c r="T2" s="184">
        <v>74</v>
      </c>
      <c r="U2" s="185" t="s">
        <v>935</v>
      </c>
      <c r="V2" s="186" t="s">
        <v>59</v>
      </c>
      <c r="X2" s="176">
        <v>100</v>
      </c>
      <c r="Y2" s="180"/>
      <c r="Z2" s="180" t="s">
        <v>57</v>
      </c>
      <c r="AA2" s="176" t="s">
        <v>58</v>
      </c>
      <c r="AB2" s="176" t="s">
        <v>1320</v>
      </c>
      <c r="AC2" s="176" t="s">
        <v>59</v>
      </c>
      <c r="AD2" s="176" t="s">
        <v>166</v>
      </c>
      <c r="AE2" s="177"/>
      <c r="AF2" s="177" t="s">
        <v>361</v>
      </c>
      <c r="AG2" s="178"/>
      <c r="AH2" s="177"/>
      <c r="AI2" s="177" t="s">
        <v>1321</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1119</v>
      </c>
      <c r="L3" s="201"/>
      <c r="M3" s="201"/>
      <c r="N3" s="193">
        <f>3.4/55</f>
        <v>6.1818181818181814E-2</v>
      </c>
      <c r="O3" s="193" t="s">
        <v>1100</v>
      </c>
      <c r="P3" s="202"/>
      <c r="Q3" s="202"/>
      <c r="R3" s="182">
        <v>0</v>
      </c>
      <c r="S3" s="183" t="s">
        <v>935</v>
      </c>
      <c r="T3" s="184">
        <v>113</v>
      </c>
      <c r="U3" s="185" t="s">
        <v>935</v>
      </c>
      <c r="V3" s="186" t="s">
        <v>59</v>
      </c>
      <c r="X3" s="176">
        <v>600</v>
      </c>
      <c r="Y3" s="180"/>
      <c r="Z3" s="180" t="s">
        <v>57</v>
      </c>
      <c r="AA3" s="176" t="s">
        <v>58</v>
      </c>
      <c r="AB3" s="176" t="s">
        <v>182</v>
      </c>
      <c r="AC3" s="176" t="s">
        <v>59</v>
      </c>
      <c r="AE3" s="177"/>
      <c r="AF3" s="177" t="s">
        <v>1120</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1121</v>
      </c>
      <c r="N4" s="193">
        <v>5.3999999999999999E-2</v>
      </c>
      <c r="O4" s="193" t="s">
        <v>1122</v>
      </c>
      <c r="P4" s="202">
        <v>1.2E-2</v>
      </c>
      <c r="Q4" s="202" t="s">
        <v>1121</v>
      </c>
      <c r="R4" s="182">
        <v>0</v>
      </c>
      <c r="S4" s="183" t="s">
        <v>935</v>
      </c>
      <c r="T4" s="184">
        <v>113</v>
      </c>
      <c r="U4" s="185">
        <v>185</v>
      </c>
      <c r="V4" s="186" t="s">
        <v>59</v>
      </c>
      <c r="X4" s="176">
        <v>600</v>
      </c>
      <c r="Y4" s="180"/>
      <c r="Z4" s="180" t="s">
        <v>57</v>
      </c>
      <c r="AA4" s="176" t="s">
        <v>58</v>
      </c>
      <c r="AB4" s="176" t="s">
        <v>182</v>
      </c>
      <c r="AC4" s="176" t="s">
        <v>59</v>
      </c>
      <c r="AE4" s="177"/>
      <c r="AF4" s="177" t="s">
        <v>1120</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1121</v>
      </c>
      <c r="N5" s="193">
        <v>0.20200000000000001</v>
      </c>
      <c r="O5" s="193" t="s">
        <v>1122</v>
      </c>
      <c r="P5" s="202">
        <v>4.2000000000000003E-2</v>
      </c>
      <c r="Q5" s="202" t="s">
        <v>1121</v>
      </c>
      <c r="R5" s="182">
        <v>0</v>
      </c>
      <c r="S5" s="183" t="s">
        <v>935</v>
      </c>
      <c r="T5" s="184">
        <v>185</v>
      </c>
      <c r="U5" s="185" t="s">
        <v>935</v>
      </c>
      <c r="V5" s="186" t="s">
        <v>59</v>
      </c>
      <c r="X5" s="176">
        <v>600</v>
      </c>
      <c r="Y5" s="180"/>
      <c r="Z5" s="180" t="s">
        <v>57</v>
      </c>
      <c r="AA5" s="176" t="s">
        <v>58</v>
      </c>
      <c r="AB5" s="176" t="s">
        <v>182</v>
      </c>
      <c r="AC5" s="176" t="s">
        <v>59</v>
      </c>
      <c r="AE5" s="177"/>
      <c r="AF5" s="177" t="s">
        <v>1120</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1121</v>
      </c>
      <c r="N6" s="193">
        <v>3.12</v>
      </c>
      <c r="O6" s="193" t="s">
        <v>1122</v>
      </c>
      <c r="P6" s="202">
        <v>0.37</v>
      </c>
      <c r="Q6" s="202" t="s">
        <v>1121</v>
      </c>
      <c r="R6" s="182">
        <v>0</v>
      </c>
      <c r="S6" s="183" t="s">
        <v>935</v>
      </c>
      <c r="T6" s="184">
        <v>74</v>
      </c>
      <c r="U6" s="185">
        <v>170</v>
      </c>
      <c r="V6" s="186" t="s">
        <v>59</v>
      </c>
      <c r="W6" s="181" t="s">
        <v>2990</v>
      </c>
      <c r="X6" s="176">
        <v>200</v>
      </c>
      <c r="Y6" s="180"/>
      <c r="Z6" s="180" t="s">
        <v>57</v>
      </c>
      <c r="AA6" s="176" t="s">
        <v>58</v>
      </c>
      <c r="AB6" s="176" t="s">
        <v>830</v>
      </c>
      <c r="AC6" s="176" t="s">
        <v>59</v>
      </c>
      <c r="AE6" s="177"/>
      <c r="AF6" s="177" t="s">
        <v>1123</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1121</v>
      </c>
      <c r="N7" s="193">
        <v>1.92</v>
      </c>
      <c r="O7" s="193" t="s">
        <v>1122</v>
      </c>
      <c r="P7" s="202">
        <v>0.31</v>
      </c>
      <c r="Q7" s="202" t="s">
        <v>1121</v>
      </c>
      <c r="R7" s="182">
        <v>0</v>
      </c>
      <c r="S7" s="183" t="s">
        <v>935</v>
      </c>
      <c r="T7" s="184">
        <v>170</v>
      </c>
      <c r="U7" s="185" t="s">
        <v>935</v>
      </c>
      <c r="V7" s="186" t="s">
        <v>59</v>
      </c>
      <c r="W7" s="181" t="s">
        <v>2990</v>
      </c>
      <c r="X7" s="176">
        <v>200</v>
      </c>
      <c r="Y7" s="180"/>
      <c r="Z7" s="180" t="s">
        <v>57</v>
      </c>
      <c r="AA7" s="176" t="s">
        <v>58</v>
      </c>
      <c r="AB7" s="176" t="s">
        <v>830</v>
      </c>
      <c r="AC7" s="176" t="s">
        <v>59</v>
      </c>
      <c r="AE7" s="177"/>
      <c r="AF7" s="177" t="s">
        <v>1123</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1099</v>
      </c>
      <c r="L8" s="201"/>
      <c r="M8" s="201"/>
      <c r="N8" s="193">
        <f>3.9/23</f>
        <v>0.16956521739130434</v>
      </c>
      <c r="O8" s="193" t="s">
        <v>1100</v>
      </c>
      <c r="P8" s="202"/>
      <c r="Q8" s="202"/>
      <c r="R8" s="182">
        <v>0</v>
      </c>
      <c r="S8" s="183" t="s">
        <v>935</v>
      </c>
      <c r="T8" s="184">
        <v>166</v>
      </c>
      <c r="U8" s="185" t="s">
        <v>935</v>
      </c>
      <c r="V8" s="186" t="s">
        <v>59</v>
      </c>
      <c r="X8" s="176">
        <v>600</v>
      </c>
      <c r="Y8" s="180"/>
      <c r="Z8" s="180" t="s">
        <v>57</v>
      </c>
      <c r="AA8" s="176" t="s">
        <v>58</v>
      </c>
      <c r="AB8" s="176" t="s">
        <v>1101</v>
      </c>
      <c r="AC8" s="176" t="s">
        <v>59</v>
      </c>
      <c r="AE8" s="177" t="s">
        <v>1102</v>
      </c>
      <c r="AG8" s="178"/>
      <c r="AH8" s="177"/>
      <c r="AI8" s="177" t="s">
        <v>1103</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0"/>
        <v>PO</v>
      </c>
      <c r="I9" s="205" t="str">
        <f>IF(AND(A9&lt;&gt;"",ISNUMBER(A9)),VLOOKUP(A9,Studies!A:BR,6,FALSE),"")</f>
        <v>Plasma</v>
      </c>
      <c r="J9" s="187">
        <f>466/49</f>
        <v>9.5102040816326525</v>
      </c>
      <c r="K9" s="187" t="s">
        <v>1099</v>
      </c>
      <c r="L9" s="201"/>
      <c r="M9" s="201"/>
      <c r="N9" s="193">
        <f>55/23</f>
        <v>2.3913043478260869</v>
      </c>
      <c r="O9" s="193" t="s">
        <v>1100</v>
      </c>
      <c r="P9" s="202"/>
      <c r="Q9" s="202"/>
      <c r="R9" s="182">
        <v>0</v>
      </c>
      <c r="S9" s="183" t="s">
        <v>935</v>
      </c>
      <c r="T9" s="184">
        <v>118</v>
      </c>
      <c r="U9" s="185" t="s">
        <v>935</v>
      </c>
      <c r="V9" s="186" t="s">
        <v>59</v>
      </c>
      <c r="X9" s="176">
        <v>400</v>
      </c>
      <c r="Y9" s="180"/>
      <c r="Z9" s="180" t="s">
        <v>57</v>
      </c>
      <c r="AA9" s="176" t="s">
        <v>58</v>
      </c>
      <c r="AB9" s="176" t="s">
        <v>508</v>
      </c>
      <c r="AC9" s="176" t="s">
        <v>59</v>
      </c>
      <c r="AE9" s="177" t="s">
        <v>1104</v>
      </c>
      <c r="AG9" s="178"/>
      <c r="AH9" s="177"/>
      <c r="AI9" s="177" t="s">
        <v>1105</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1099</v>
      </c>
      <c r="L10" s="201"/>
      <c r="M10" s="201"/>
      <c r="N10" s="193">
        <f>1.1/7.4</f>
        <v>0.14864864864864866</v>
      </c>
      <c r="O10" s="193" t="s">
        <v>1100</v>
      </c>
      <c r="P10" s="202"/>
      <c r="Q10" s="202"/>
      <c r="R10" s="182">
        <v>0</v>
      </c>
      <c r="S10" s="183" t="s">
        <v>935</v>
      </c>
      <c r="T10" s="184">
        <v>190</v>
      </c>
      <c r="U10" s="185" t="s">
        <v>935</v>
      </c>
      <c r="V10" s="186" t="s">
        <v>59</v>
      </c>
      <c r="X10" s="176">
        <v>600</v>
      </c>
      <c r="Y10" s="180"/>
      <c r="Z10" s="180" t="s">
        <v>57</v>
      </c>
      <c r="AA10" s="176" t="s">
        <v>58</v>
      </c>
      <c r="AB10" s="176" t="s">
        <v>1101</v>
      </c>
      <c r="AC10" s="176" t="s">
        <v>59</v>
      </c>
      <c r="AE10" s="177" t="s">
        <v>1102</v>
      </c>
      <c r="AG10" s="178"/>
      <c r="AH10" s="177"/>
      <c r="AI10" s="177" t="s">
        <v>1103</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0"/>
        <v>PO</v>
      </c>
      <c r="I11" s="205" t="str">
        <f>IF(AND(A11&lt;&gt;"",ISNUMBER(A11)),VLOOKUP(A11,Studies!A:BR,6,FALSE),"")</f>
        <v>Plasma</v>
      </c>
      <c r="J11" s="187">
        <f>364/29</f>
        <v>12.551724137931034</v>
      </c>
      <c r="K11" s="187" t="s">
        <v>1099</v>
      </c>
      <c r="L11" s="201"/>
      <c r="M11" s="201"/>
      <c r="N11" s="193">
        <f>55/7.4</f>
        <v>7.4324324324324325</v>
      </c>
      <c r="O11" s="193" t="s">
        <v>1100</v>
      </c>
      <c r="P11" s="202"/>
      <c r="Q11" s="202"/>
      <c r="R11" s="182">
        <v>0</v>
      </c>
      <c r="S11" s="183" t="s">
        <v>935</v>
      </c>
      <c r="T11" s="184">
        <v>190</v>
      </c>
      <c r="U11" s="185" t="s">
        <v>935</v>
      </c>
      <c r="V11" s="186" t="s">
        <v>59</v>
      </c>
      <c r="X11" s="176">
        <v>400</v>
      </c>
      <c r="Y11" s="180"/>
      <c r="Z11" s="180" t="s">
        <v>57</v>
      </c>
      <c r="AA11" s="176" t="s">
        <v>58</v>
      </c>
      <c r="AB11" s="176" t="s">
        <v>508</v>
      </c>
      <c r="AC11" s="176" t="s">
        <v>59</v>
      </c>
      <c r="AE11" s="177" t="s">
        <v>1104</v>
      </c>
      <c r="AG11" s="178"/>
      <c r="AH11" s="177"/>
      <c r="AI11" s="177" t="s">
        <v>1105</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1099</v>
      </c>
      <c r="L12" s="201"/>
      <c r="M12" s="201"/>
      <c r="N12" s="193">
        <v>0.22580645161290325</v>
      </c>
      <c r="O12" s="193" t="s">
        <v>1099</v>
      </c>
      <c r="P12" s="202"/>
      <c r="Q12" s="202"/>
      <c r="R12" s="182">
        <v>0</v>
      </c>
      <c r="S12" s="183" t="s">
        <v>935</v>
      </c>
      <c r="T12" s="184">
        <v>90</v>
      </c>
      <c r="U12" s="185">
        <v>114</v>
      </c>
      <c r="V12" s="186" t="s">
        <v>59</v>
      </c>
      <c r="X12" s="176">
        <v>450</v>
      </c>
      <c r="Y12" s="180"/>
      <c r="Z12" s="180" t="s">
        <v>57</v>
      </c>
      <c r="AA12" s="176" t="s">
        <v>58</v>
      </c>
      <c r="AB12" s="176" t="s">
        <v>1317</v>
      </c>
      <c r="AC12" s="176" t="s">
        <v>59</v>
      </c>
      <c r="AD12" s="176" t="s">
        <v>1318</v>
      </c>
      <c r="AE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0"/>
        <v>PO</v>
      </c>
      <c r="I13" s="205" t="str">
        <f>IF(AND(A13&lt;&gt;"",ISNUMBER(A13)),VLOOKUP(A13,Studies!A:BR,6,FALSE),"")</f>
        <v>Plasma</v>
      </c>
      <c r="J13" s="187">
        <v>6.4705882352941178</v>
      </c>
      <c r="K13" s="187" t="s">
        <v>1099</v>
      </c>
      <c r="L13" s="201"/>
      <c r="M13" s="201"/>
      <c r="N13" s="193">
        <v>3.7419354838709675</v>
      </c>
      <c r="O13" s="193" t="s">
        <v>1099</v>
      </c>
      <c r="P13" s="202"/>
      <c r="Q13" s="202"/>
      <c r="R13" s="182">
        <v>0</v>
      </c>
      <c r="S13" s="183" t="s">
        <v>935</v>
      </c>
      <c r="T13" s="184">
        <v>48</v>
      </c>
      <c r="U13" s="185" t="s">
        <v>935</v>
      </c>
      <c r="V13" s="186" t="s">
        <v>59</v>
      </c>
      <c r="X13" s="176">
        <v>200</v>
      </c>
      <c r="Y13" s="180"/>
      <c r="Z13" s="180" t="s">
        <v>57</v>
      </c>
      <c r="AA13" s="176" t="s">
        <v>58</v>
      </c>
      <c r="AB13" s="176" t="s">
        <v>1319</v>
      </c>
      <c r="AC13" s="176" t="s">
        <v>59</v>
      </c>
      <c r="AD13" s="176" t="s">
        <v>111</v>
      </c>
      <c r="AE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1099</v>
      </c>
      <c r="L14" s="201"/>
      <c r="M14" s="201"/>
      <c r="N14" s="193">
        <v>0.11153846153846153</v>
      </c>
      <c r="O14" s="193" t="s">
        <v>1099</v>
      </c>
      <c r="P14" s="202"/>
      <c r="Q14" s="202"/>
      <c r="R14" s="182">
        <v>0</v>
      </c>
      <c r="S14" s="183" t="s">
        <v>935</v>
      </c>
      <c r="T14" s="184">
        <v>114</v>
      </c>
      <c r="U14" s="185" t="s">
        <v>935</v>
      </c>
      <c r="V14" s="186" t="s">
        <v>59</v>
      </c>
      <c r="X14" s="176">
        <v>450</v>
      </c>
      <c r="Y14" s="180"/>
      <c r="Z14" s="180" t="s">
        <v>57</v>
      </c>
      <c r="AA14" s="176" t="s">
        <v>58</v>
      </c>
      <c r="AB14" s="176" t="s">
        <v>1317</v>
      </c>
      <c r="AC14" s="176" t="s">
        <v>59</v>
      </c>
      <c r="AD14" s="176" t="s">
        <v>1318</v>
      </c>
      <c r="AE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0"/>
        <v>PO</v>
      </c>
      <c r="I15" s="205" t="str">
        <f>IF(AND(A15&lt;&gt;"",ISNUMBER(A15)),VLOOKUP(A15,Studies!A:BR,6,FALSE),"")</f>
        <v>Whole Blood</v>
      </c>
      <c r="J15" s="187">
        <f>1.5/0.21</f>
        <v>7.1428571428571432</v>
      </c>
      <c r="K15" s="187" t="s">
        <v>1099</v>
      </c>
      <c r="L15" s="201"/>
      <c r="M15" s="201"/>
      <c r="N15" s="193"/>
      <c r="O15" s="193"/>
      <c r="P15" s="202"/>
      <c r="Q15" s="202"/>
      <c r="R15" s="182">
        <v>0</v>
      </c>
      <c r="S15" s="183" t="s">
        <v>935</v>
      </c>
      <c r="T15" s="184">
        <v>146</v>
      </c>
      <c r="U15" s="185" t="s">
        <v>935</v>
      </c>
      <c r="V15" s="186" t="s">
        <v>59</v>
      </c>
      <c r="W15" s="181" t="s">
        <v>1126</v>
      </c>
      <c r="X15" s="158">
        <v>500</v>
      </c>
      <c r="Y15" s="159"/>
      <c r="Z15" s="159" t="s">
        <v>57</v>
      </c>
      <c r="AA15" s="158" t="s">
        <v>58</v>
      </c>
      <c r="AB15" s="176" t="s">
        <v>1148</v>
      </c>
      <c r="AC15" s="158" t="s">
        <v>59</v>
      </c>
      <c r="AD15" s="158" t="s">
        <v>91</v>
      </c>
      <c r="AE15" s="160"/>
      <c r="AF15" s="160" t="s">
        <v>1149</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0"/>
        <v>PO</v>
      </c>
      <c r="I16" s="205" t="str">
        <f>IF(AND(A16&lt;&gt;"",ISNUMBER(A16)),VLOOKUP(A16,Studies!A:BR,6,FALSE),"")</f>
        <v>Whole Blood</v>
      </c>
      <c r="J16" s="187">
        <f>0.4/0.15</f>
        <v>2.666666666666667</v>
      </c>
      <c r="K16" s="187" t="s">
        <v>1099</v>
      </c>
      <c r="L16" s="201"/>
      <c r="M16" s="201"/>
      <c r="N16" s="193"/>
      <c r="O16" s="193"/>
      <c r="P16" s="202"/>
      <c r="Q16" s="202"/>
      <c r="R16" s="182">
        <v>0</v>
      </c>
      <c r="S16" s="183" t="s">
        <v>935</v>
      </c>
      <c r="T16" s="184">
        <v>146</v>
      </c>
      <c r="U16" s="185" t="s">
        <v>935</v>
      </c>
      <c r="V16" s="186" t="s">
        <v>59</v>
      </c>
      <c r="W16" s="181" t="s">
        <v>1126</v>
      </c>
      <c r="X16" s="158">
        <v>500</v>
      </c>
      <c r="Y16" s="159"/>
      <c r="Z16" s="159" t="s">
        <v>57</v>
      </c>
      <c r="AA16" s="158" t="s">
        <v>58</v>
      </c>
      <c r="AB16" s="176" t="s">
        <v>1148</v>
      </c>
      <c r="AC16" s="158" t="s">
        <v>59</v>
      </c>
      <c r="AD16" s="158" t="s">
        <v>91</v>
      </c>
      <c r="AE16" s="160"/>
      <c r="AF16" s="160" t="s">
        <v>1149</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3.7/35.8</f>
        <v>0.10335195530726259</v>
      </c>
      <c r="K17" s="187" t="s">
        <v>1099</v>
      </c>
      <c r="L17" s="201"/>
      <c r="M17" s="201"/>
      <c r="N17" s="193">
        <f>(1.8*4/6)/17.9</f>
        <v>6.7039106145251395E-2</v>
      </c>
      <c r="O17" s="193" t="s">
        <v>334</v>
      </c>
      <c r="P17" s="202"/>
      <c r="Q17" s="202"/>
      <c r="R17" s="182">
        <v>0</v>
      </c>
      <c r="S17" s="183" t="s">
        <v>935</v>
      </c>
      <c r="T17" s="184">
        <v>132</v>
      </c>
      <c r="U17" s="185" t="s">
        <v>935</v>
      </c>
      <c r="V17" s="186" t="s">
        <v>59</v>
      </c>
      <c r="W17" s="181" t="s">
        <v>2989</v>
      </c>
      <c r="X17" s="176">
        <v>600</v>
      </c>
      <c r="Y17" s="180"/>
      <c r="Z17" s="180" t="s">
        <v>57</v>
      </c>
      <c r="AA17" s="176" t="s">
        <v>58</v>
      </c>
      <c r="AB17" s="176" t="s">
        <v>1124</v>
      </c>
      <c r="AC17" s="176" t="s">
        <v>59</v>
      </c>
      <c r="AD17" s="176" t="s">
        <v>91</v>
      </c>
      <c r="AE17" s="177"/>
      <c r="AF17" s="160" t="s">
        <v>1125</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52.8/117.6</f>
        <v>0.44897959183673469</v>
      </c>
      <c r="K18" s="187" t="s">
        <v>1099</v>
      </c>
      <c r="L18" s="201"/>
      <c r="M18" s="201"/>
      <c r="N18" s="193"/>
      <c r="O18" s="193"/>
      <c r="P18" s="202"/>
      <c r="Q18" s="202"/>
      <c r="R18" s="182">
        <v>0</v>
      </c>
      <c r="S18" s="183" t="s">
        <v>935</v>
      </c>
      <c r="T18" s="184">
        <v>132</v>
      </c>
      <c r="U18" s="185" t="s">
        <v>935</v>
      </c>
      <c r="V18" s="186" t="s">
        <v>59</v>
      </c>
      <c r="X18" s="176">
        <v>600</v>
      </c>
      <c r="Y18" s="180"/>
      <c r="Z18" s="180" t="s">
        <v>57</v>
      </c>
      <c r="AA18" s="176" t="s">
        <v>58</v>
      </c>
      <c r="AB18" s="176" t="s">
        <v>1124</v>
      </c>
      <c r="AC18" s="176" t="s">
        <v>59</v>
      </c>
      <c r="AD18" s="176" t="s">
        <v>91</v>
      </c>
      <c r="AE18" s="177"/>
      <c r="AF18" s="160" t="s">
        <v>1125</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1099</v>
      </c>
      <c r="L19" s="201"/>
      <c r="M19" s="201"/>
      <c r="N19" s="193">
        <v>0.48148148148148145</v>
      </c>
      <c r="O19" s="193" t="s">
        <v>1099</v>
      </c>
      <c r="P19" s="202"/>
      <c r="Q19" s="202"/>
      <c r="R19" s="182">
        <v>0</v>
      </c>
      <c r="S19" s="183" t="s">
        <v>935</v>
      </c>
      <c r="T19" s="184">
        <v>240</v>
      </c>
      <c r="U19" s="185" t="s">
        <v>935</v>
      </c>
      <c r="V19" s="186" t="s">
        <v>59</v>
      </c>
      <c r="X19" s="176">
        <v>600</v>
      </c>
      <c r="Y19" s="180"/>
      <c r="Z19" s="137" t="s">
        <v>57</v>
      </c>
      <c r="AA19" s="176" t="s">
        <v>58</v>
      </c>
      <c r="AB19" s="176" t="s">
        <v>1147</v>
      </c>
      <c r="AC19" s="176" t="s">
        <v>59</v>
      </c>
      <c r="AD19" s="176" t="s">
        <v>91</v>
      </c>
      <c r="AE19" s="177" t="s">
        <v>1137</v>
      </c>
      <c r="AF19" s="177" t="s">
        <v>2940</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1099</v>
      </c>
      <c r="L20" s="201"/>
      <c r="M20" s="201"/>
      <c r="N20" s="193">
        <v>0.834008097165992</v>
      </c>
      <c r="O20" s="193" t="s">
        <v>1099</v>
      </c>
      <c r="P20" s="202"/>
      <c r="Q20" s="202"/>
      <c r="R20" s="182">
        <v>0</v>
      </c>
      <c r="S20" s="183" t="s">
        <v>935</v>
      </c>
      <c r="T20" s="184">
        <v>240</v>
      </c>
      <c r="U20" s="185" t="s">
        <v>935</v>
      </c>
      <c r="V20" s="186" t="s">
        <v>59</v>
      </c>
      <c r="X20" s="136">
        <v>600</v>
      </c>
      <c r="Y20" s="137"/>
      <c r="Z20" s="137" t="s">
        <v>57</v>
      </c>
      <c r="AA20" s="176" t="s">
        <v>58</v>
      </c>
      <c r="AB20" s="176" t="s">
        <v>1147</v>
      </c>
      <c r="AC20" s="176" t="s">
        <v>59</v>
      </c>
      <c r="AD20" s="136" t="s">
        <v>91</v>
      </c>
      <c r="AE20" s="177" t="s">
        <v>1137</v>
      </c>
      <c r="AF20" s="177" t="s">
        <v>2940</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1099</v>
      </c>
      <c r="L21" s="201"/>
      <c r="M21" s="201"/>
      <c r="N21" s="213">
        <v>0.1209150326797</v>
      </c>
      <c r="O21" s="213" t="s">
        <v>334</v>
      </c>
      <c r="P21" s="202"/>
      <c r="Q21" s="202"/>
      <c r="R21" s="182">
        <v>0</v>
      </c>
      <c r="S21" s="183" t="s">
        <v>935</v>
      </c>
      <c r="T21" s="184">
        <v>146</v>
      </c>
      <c r="U21" s="185" t="s">
        <v>935</v>
      </c>
      <c r="V21" s="219" t="s">
        <v>59</v>
      </c>
      <c r="W21" s="220"/>
      <c r="X21" s="206">
        <v>300</v>
      </c>
      <c r="Y21" s="207"/>
      <c r="Z21" s="207" t="s">
        <v>57</v>
      </c>
      <c r="AA21" s="206" t="s">
        <v>58</v>
      </c>
      <c r="AB21" s="176" t="s">
        <v>1127</v>
      </c>
      <c r="AC21" s="206" t="s">
        <v>59</v>
      </c>
      <c r="AD21" s="206" t="s">
        <v>91</v>
      </c>
      <c r="AE21" s="208" t="s">
        <v>1128</v>
      </c>
      <c r="AF21" s="208" t="s">
        <v>1129</v>
      </c>
      <c r="AG21" s="209"/>
      <c r="AH21" s="208"/>
      <c r="AI21" s="208" t="s">
        <v>1130</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0"/>
        <v>PO</v>
      </c>
      <c r="I22" s="205" t="str">
        <f>IF(AND(A22&lt;&gt;"",ISNUMBER(A22)),VLOOKUP(A22,Studies!A:BR,6,FALSE),"")</f>
        <v>Plasma</v>
      </c>
      <c r="J22" s="211">
        <v>8.3928571400000003</v>
      </c>
      <c r="K22" s="211" t="s">
        <v>1099</v>
      </c>
      <c r="L22" s="201"/>
      <c r="M22" s="201"/>
      <c r="N22" s="213">
        <v>3.795597484</v>
      </c>
      <c r="O22" s="213" t="s">
        <v>334</v>
      </c>
      <c r="P22" s="202"/>
      <c r="Q22" s="202"/>
      <c r="R22" s="182">
        <v>0</v>
      </c>
      <c r="S22" s="183" t="s">
        <v>935</v>
      </c>
      <c r="T22" s="184">
        <v>146</v>
      </c>
      <c r="U22" s="185" t="s">
        <v>935</v>
      </c>
      <c r="V22" s="219" t="s">
        <v>59</v>
      </c>
      <c r="W22" s="220"/>
      <c r="X22" s="206">
        <v>500</v>
      </c>
      <c r="Y22" s="207"/>
      <c r="Z22" s="207" t="s">
        <v>57</v>
      </c>
      <c r="AA22" s="206" t="s">
        <v>58</v>
      </c>
      <c r="AB22" s="176" t="s">
        <v>1127</v>
      </c>
      <c r="AC22" s="206" t="s">
        <v>59</v>
      </c>
      <c r="AD22" s="206" t="s">
        <v>91</v>
      </c>
      <c r="AE22" s="208" t="s">
        <v>1131</v>
      </c>
      <c r="AF22" s="208" t="s">
        <v>1132</v>
      </c>
      <c r="AG22" s="209"/>
      <c r="AH22" s="208"/>
      <c r="AI22" s="208" t="s">
        <v>1130</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1099</v>
      </c>
      <c r="L23" s="201"/>
      <c r="M23" s="201"/>
      <c r="N23" s="213">
        <v>0.107623318</v>
      </c>
      <c r="O23" s="213" t="s">
        <v>334</v>
      </c>
      <c r="P23" s="202"/>
      <c r="Q23" s="202"/>
      <c r="R23" s="182">
        <v>0</v>
      </c>
      <c r="S23" s="183" t="s">
        <v>935</v>
      </c>
      <c r="T23" s="184">
        <v>146</v>
      </c>
      <c r="U23" s="185" t="s">
        <v>935</v>
      </c>
      <c r="V23" s="219" t="s">
        <v>59</v>
      </c>
      <c r="W23" s="220"/>
      <c r="X23" s="206">
        <v>300</v>
      </c>
      <c r="Y23" s="207"/>
      <c r="Z23" s="207" t="s">
        <v>57</v>
      </c>
      <c r="AA23" s="206" t="s">
        <v>58</v>
      </c>
      <c r="AB23" s="176" t="s">
        <v>1127</v>
      </c>
      <c r="AC23" s="206" t="s">
        <v>59</v>
      </c>
      <c r="AD23" s="206" t="s">
        <v>91</v>
      </c>
      <c r="AE23" s="208" t="s">
        <v>1128</v>
      </c>
      <c r="AF23" s="208" t="s">
        <v>1129</v>
      </c>
      <c r="AG23" s="209"/>
      <c r="AH23" s="208"/>
      <c r="AI23" s="208" t="s">
        <v>1130</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0"/>
        <v>PO</v>
      </c>
      <c r="I24" s="205" t="str">
        <f>IF(AND(A24&lt;&gt;"",ISNUMBER(A24)),VLOOKUP(A24,Studies!A:BR,6,FALSE),"")</f>
        <v>Plasma</v>
      </c>
      <c r="J24" s="211">
        <v>5.4833983999999996</v>
      </c>
      <c r="K24" s="211" t="s">
        <v>1099</v>
      </c>
      <c r="L24" s="201"/>
      <c r="M24" s="201"/>
      <c r="N24" s="213">
        <v>2.1743295019</v>
      </c>
      <c r="O24" s="213" t="s">
        <v>334</v>
      </c>
      <c r="P24" s="202"/>
      <c r="Q24" s="202"/>
      <c r="R24" s="182">
        <v>0</v>
      </c>
      <c r="S24" s="183" t="s">
        <v>935</v>
      </c>
      <c r="T24" s="184">
        <v>146</v>
      </c>
      <c r="U24" s="185" t="s">
        <v>935</v>
      </c>
      <c r="V24" s="219" t="s">
        <v>59</v>
      </c>
      <c r="W24" s="220"/>
      <c r="X24" s="206">
        <v>500</v>
      </c>
      <c r="Y24" s="207"/>
      <c r="Z24" s="207" t="s">
        <v>57</v>
      </c>
      <c r="AA24" s="206" t="s">
        <v>58</v>
      </c>
      <c r="AB24" s="176" t="s">
        <v>1127</v>
      </c>
      <c r="AC24" s="206" t="s">
        <v>59</v>
      </c>
      <c r="AD24" s="206" t="s">
        <v>91</v>
      </c>
      <c r="AE24" s="208" t="s">
        <v>1131</v>
      </c>
      <c r="AF24" s="208" t="s">
        <v>1132</v>
      </c>
      <c r="AG24" s="209"/>
      <c r="AH24" s="208"/>
      <c r="AI24" s="208" t="s">
        <v>1130</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1099</v>
      </c>
      <c r="L25" s="201"/>
      <c r="M25" s="201"/>
      <c r="N25" s="193">
        <v>0.61538461499999997</v>
      </c>
      <c r="O25" s="193" t="s">
        <v>334</v>
      </c>
      <c r="P25" s="202"/>
      <c r="Q25" s="202"/>
      <c r="R25" s="182">
        <v>0</v>
      </c>
      <c r="S25" s="183" t="s">
        <v>935</v>
      </c>
      <c r="T25" s="184">
        <v>146</v>
      </c>
      <c r="U25" s="185" t="s">
        <v>935</v>
      </c>
      <c r="V25" s="186" t="s">
        <v>59</v>
      </c>
      <c r="W25" s="181"/>
      <c r="X25" s="176">
        <v>300</v>
      </c>
      <c r="Y25" s="180"/>
      <c r="Z25" s="180" t="s">
        <v>57</v>
      </c>
      <c r="AA25" s="206" t="s">
        <v>58</v>
      </c>
      <c r="AB25" s="176" t="s">
        <v>1127</v>
      </c>
      <c r="AC25" s="176" t="s">
        <v>59</v>
      </c>
      <c r="AD25" s="176" t="s">
        <v>91</v>
      </c>
      <c r="AE25" s="177" t="s">
        <v>1128</v>
      </c>
      <c r="AF25" s="177" t="s">
        <v>1133</v>
      </c>
      <c r="AG25" s="178"/>
      <c r="AH25" s="177"/>
      <c r="AI25" s="177" t="s">
        <v>1130</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0"/>
        <v>PO</v>
      </c>
      <c r="I26" s="205" t="str">
        <f>IF(AND(A26&lt;&gt;"",ISNUMBER(A26)),VLOOKUP(A26,Studies!A:BR,6,FALSE),"")</f>
        <v>Serum</v>
      </c>
      <c r="J26" s="187">
        <v>1.46575342</v>
      </c>
      <c r="K26" s="211" t="s">
        <v>1099</v>
      </c>
      <c r="L26" s="201"/>
      <c r="M26" s="201"/>
      <c r="N26" s="193">
        <v>1.75</v>
      </c>
      <c r="O26" s="193" t="s">
        <v>334</v>
      </c>
      <c r="P26" s="202"/>
      <c r="Q26" s="202"/>
      <c r="R26" s="182">
        <v>0</v>
      </c>
      <c r="S26" s="183" t="s">
        <v>935</v>
      </c>
      <c r="T26" s="184">
        <v>144</v>
      </c>
      <c r="U26" s="185" t="s">
        <v>935</v>
      </c>
      <c r="V26" s="186" t="s">
        <v>59</v>
      </c>
      <c r="W26" s="181"/>
      <c r="X26" s="176">
        <v>500</v>
      </c>
      <c r="Y26" s="180"/>
      <c r="Z26" s="180" t="s">
        <v>57</v>
      </c>
      <c r="AA26" s="206" t="s">
        <v>58</v>
      </c>
      <c r="AB26" s="176" t="s">
        <v>1127</v>
      </c>
      <c r="AC26" s="176" t="s">
        <v>59</v>
      </c>
      <c r="AD26" s="176" t="s">
        <v>91</v>
      </c>
      <c r="AE26" s="177" t="s">
        <v>1131</v>
      </c>
      <c r="AF26" s="177" t="s">
        <v>1134</v>
      </c>
      <c r="AG26" s="178"/>
      <c r="AH26" s="177"/>
      <c r="AI26" s="177" t="s">
        <v>1130</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935</v>
      </c>
      <c r="T27" s="184">
        <v>49</v>
      </c>
      <c r="U27" s="185" t="s">
        <v>935</v>
      </c>
      <c r="V27" s="186" t="s">
        <v>59</v>
      </c>
      <c r="W27" s="181"/>
      <c r="X27" s="136">
        <v>200</v>
      </c>
      <c r="Y27" s="137"/>
      <c r="Z27" s="137" t="s">
        <v>57</v>
      </c>
      <c r="AA27" s="136"/>
      <c r="AB27" s="136" t="s">
        <v>182</v>
      </c>
      <c r="AC27" s="136"/>
      <c r="AD27" s="136"/>
      <c r="AE27" s="174"/>
      <c r="AF27" s="174" t="s">
        <v>1394</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61" si="1">AA28</f>
        <v>PO</v>
      </c>
      <c r="I28" s="205" t="str">
        <f>IF(AND(A28&lt;&gt;"",ISNUMBER(A28)),VLOOKUP(A28,Studies!A:BR,6,FALSE),"")</f>
        <v>Plasma</v>
      </c>
      <c r="J28" s="187">
        <f>3.3/8.7</f>
        <v>0.37931034482758624</v>
      </c>
      <c r="K28" s="187" t="s">
        <v>1099</v>
      </c>
      <c r="L28" s="201"/>
      <c r="M28" s="201"/>
      <c r="N28" s="193"/>
      <c r="O28" s="193"/>
      <c r="P28" s="202"/>
      <c r="Q28" s="202"/>
      <c r="R28" s="182">
        <v>0</v>
      </c>
      <c r="S28" s="183" t="s">
        <v>935</v>
      </c>
      <c r="T28" s="184">
        <f>4*24+24</f>
        <v>120</v>
      </c>
      <c r="U28" s="185" t="s">
        <v>935</v>
      </c>
      <c r="V28" s="186" t="s">
        <v>59</v>
      </c>
      <c r="W28" s="120" t="s">
        <v>1150</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1099</v>
      </c>
      <c r="L29" s="201"/>
      <c r="M29" s="201"/>
      <c r="N29" s="193"/>
      <c r="O29" s="193"/>
      <c r="P29" s="202"/>
      <c r="Q29" s="202"/>
      <c r="R29" s="182">
        <v>0</v>
      </c>
      <c r="S29" s="183" t="s">
        <v>935</v>
      </c>
      <c r="T29" s="184">
        <v>120.5</v>
      </c>
      <c r="U29" s="185" t="s">
        <v>935</v>
      </c>
      <c r="V29" s="186" t="s">
        <v>59</v>
      </c>
      <c r="W29" s="120" t="s">
        <v>1150</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1099</v>
      </c>
      <c r="L30" s="201"/>
      <c r="M30" s="201"/>
      <c r="N30" s="193">
        <f>50.7/50.2</f>
        <v>1.0099601593625498</v>
      </c>
      <c r="O30" s="193" t="s">
        <v>1100</v>
      </c>
      <c r="P30" s="202"/>
      <c r="Q30" s="202"/>
      <c r="R30" s="182">
        <v>0</v>
      </c>
      <c r="S30" s="183" t="s">
        <v>935</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1099</v>
      </c>
      <c r="L31" s="201"/>
      <c r="M31" s="201"/>
      <c r="N31" s="193">
        <f>90.5/90.2</f>
        <v>1.0033259423503325</v>
      </c>
      <c r="O31" s="193" t="s">
        <v>1100</v>
      </c>
      <c r="P31" s="202"/>
      <c r="Q31" s="202"/>
      <c r="R31" s="182">
        <v>0</v>
      </c>
      <c r="S31" s="183" t="s">
        <v>935</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1099</v>
      </c>
      <c r="L32" s="201"/>
      <c r="M32" s="201"/>
      <c r="N32" s="193">
        <f>1/9.1</f>
        <v>0.10989010989010989</v>
      </c>
      <c r="O32" s="193" t="s">
        <v>1100</v>
      </c>
      <c r="P32" s="202"/>
      <c r="Q32" s="202"/>
      <c r="R32" s="182">
        <v>0</v>
      </c>
      <c r="S32" s="183" t="s">
        <v>935</v>
      </c>
      <c r="T32" s="184">
        <v>128</v>
      </c>
      <c r="U32" s="185" t="s">
        <v>935</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1099</v>
      </c>
      <c r="L33" s="201"/>
      <c r="M33" s="201"/>
      <c r="N33" s="193">
        <f>5/45</f>
        <v>0.1111111111111111</v>
      </c>
      <c r="O33" s="193" t="s">
        <v>1100</v>
      </c>
      <c r="P33" s="202"/>
      <c r="Q33" s="202"/>
      <c r="R33" s="182">
        <v>0</v>
      </c>
      <c r="S33" s="183" t="s">
        <v>935</v>
      </c>
      <c r="T33" s="184">
        <v>129</v>
      </c>
      <c r="U33" s="185" t="s">
        <v>935</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1000</v>
      </c>
      <c r="L34" s="201">
        <v>0.13</v>
      </c>
      <c r="M34" s="121" t="s">
        <v>1135</v>
      </c>
      <c r="N34" s="193">
        <v>1.03225806</v>
      </c>
      <c r="O34" s="193" t="s">
        <v>334</v>
      </c>
      <c r="P34" s="202"/>
      <c r="Q34" s="202"/>
      <c r="R34" s="182">
        <v>0</v>
      </c>
      <c r="S34" s="183" t="s">
        <v>935</v>
      </c>
      <c r="T34" s="184">
        <v>108</v>
      </c>
      <c r="U34" s="185">
        <v>132</v>
      </c>
      <c r="V34" s="186" t="s">
        <v>59</v>
      </c>
      <c r="W34" s="181"/>
      <c r="X34" s="176">
        <v>5</v>
      </c>
      <c r="Y34" s="180"/>
      <c r="Z34" s="180" t="s">
        <v>57</v>
      </c>
      <c r="AA34" s="176" t="s">
        <v>58</v>
      </c>
      <c r="AB34" s="176" t="s">
        <v>1136</v>
      </c>
      <c r="AC34" s="176" t="s">
        <v>59</v>
      </c>
      <c r="AD34" s="176" t="s">
        <v>91</v>
      </c>
      <c r="AE34" s="177" t="s">
        <v>1137</v>
      </c>
      <c r="AF34" s="177" t="s">
        <v>1138</v>
      </c>
      <c r="AG34" s="178"/>
      <c r="AH34" s="177"/>
      <c r="AI34" s="177" t="s">
        <v>1139</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1000</v>
      </c>
      <c r="L35" s="201">
        <v>0.12</v>
      </c>
      <c r="M35" s="121" t="s">
        <v>1135</v>
      </c>
      <c r="N35" s="193">
        <v>1.064516129</v>
      </c>
      <c r="O35" s="193" t="s">
        <v>334</v>
      </c>
      <c r="P35" s="202"/>
      <c r="Q35" s="202"/>
      <c r="R35" s="182">
        <v>0</v>
      </c>
      <c r="S35" s="183" t="s">
        <v>935</v>
      </c>
      <c r="T35" s="184">
        <v>108</v>
      </c>
      <c r="U35" s="185">
        <v>132</v>
      </c>
      <c r="V35" s="186" t="s">
        <v>59</v>
      </c>
      <c r="W35" s="181"/>
      <c r="X35" s="176">
        <v>10</v>
      </c>
      <c r="Y35" s="180"/>
      <c r="Z35" s="180" t="s">
        <v>57</v>
      </c>
      <c r="AA35" s="176" t="s">
        <v>58</v>
      </c>
      <c r="AB35" s="176" t="s">
        <v>1136</v>
      </c>
      <c r="AC35" s="176" t="s">
        <v>59</v>
      </c>
      <c r="AD35" s="176" t="s">
        <v>91</v>
      </c>
      <c r="AE35" s="177" t="s">
        <v>1137</v>
      </c>
      <c r="AF35" s="177" t="s">
        <v>1138</v>
      </c>
      <c r="AG35" s="178"/>
      <c r="AH35" s="177"/>
      <c r="AI35" s="177" t="s">
        <v>1139</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1000</v>
      </c>
      <c r="L36" s="201">
        <v>0.11</v>
      </c>
      <c r="M36" s="121" t="s">
        <v>1135</v>
      </c>
      <c r="N36" s="193">
        <v>0.83870967699999999</v>
      </c>
      <c r="O36" s="193" t="s">
        <v>334</v>
      </c>
      <c r="P36" s="202"/>
      <c r="Q36" s="202"/>
      <c r="R36" s="182">
        <v>0</v>
      </c>
      <c r="S36" s="183" t="s">
        <v>935</v>
      </c>
      <c r="T36" s="184">
        <v>108</v>
      </c>
      <c r="U36" s="185">
        <v>132</v>
      </c>
      <c r="V36" s="186" t="s">
        <v>59</v>
      </c>
      <c r="W36" s="181"/>
      <c r="X36" s="176">
        <v>25</v>
      </c>
      <c r="Y36" s="180"/>
      <c r="Z36" s="180" t="s">
        <v>57</v>
      </c>
      <c r="AA36" s="176" t="s">
        <v>58</v>
      </c>
      <c r="AB36" s="176" t="s">
        <v>1136</v>
      </c>
      <c r="AC36" s="176" t="s">
        <v>59</v>
      </c>
      <c r="AD36" s="176" t="s">
        <v>91</v>
      </c>
      <c r="AE36" s="177" t="s">
        <v>1137</v>
      </c>
      <c r="AF36" s="177" t="s">
        <v>1138</v>
      </c>
      <c r="AG36" s="178"/>
      <c r="AH36" s="177"/>
      <c r="AI36" s="177" t="s">
        <v>1139</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1000</v>
      </c>
      <c r="L37" s="201">
        <v>0.12</v>
      </c>
      <c r="M37" s="121" t="s">
        <v>1135</v>
      </c>
      <c r="N37" s="193">
        <v>1.3225806449999999</v>
      </c>
      <c r="O37" s="193" t="s">
        <v>334</v>
      </c>
      <c r="P37" s="202"/>
      <c r="Q37" s="202"/>
      <c r="R37" s="182">
        <v>0</v>
      </c>
      <c r="S37" s="183" t="s">
        <v>935</v>
      </c>
      <c r="T37" s="184">
        <v>108</v>
      </c>
      <c r="U37" s="185">
        <v>132</v>
      </c>
      <c r="V37" s="186" t="s">
        <v>59</v>
      </c>
      <c r="W37" s="181"/>
      <c r="X37" s="176">
        <v>75</v>
      </c>
      <c r="Y37" s="180"/>
      <c r="Z37" s="180" t="s">
        <v>57</v>
      </c>
      <c r="AA37" s="176" t="s">
        <v>58</v>
      </c>
      <c r="AB37" s="176" t="s">
        <v>1136</v>
      </c>
      <c r="AC37" s="176" t="s">
        <v>59</v>
      </c>
      <c r="AD37" s="176" t="s">
        <v>91</v>
      </c>
      <c r="AE37" s="177" t="s">
        <v>1137</v>
      </c>
      <c r="AF37" s="177" t="s">
        <v>1138</v>
      </c>
      <c r="AG37" s="178"/>
      <c r="AH37" s="177"/>
      <c r="AI37" s="177" t="s">
        <v>1139</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1000</v>
      </c>
      <c r="L38" s="201">
        <v>0.16</v>
      </c>
      <c r="M38" s="121" t="s">
        <v>1135</v>
      </c>
      <c r="N38" s="193">
        <v>1.0392156859999999</v>
      </c>
      <c r="O38" s="193" t="s">
        <v>334</v>
      </c>
      <c r="P38" s="202"/>
      <c r="Q38" s="202"/>
      <c r="R38" s="182">
        <v>0</v>
      </c>
      <c r="S38" s="183" t="s">
        <v>935</v>
      </c>
      <c r="T38" s="184">
        <v>109</v>
      </c>
      <c r="U38" s="185">
        <v>133</v>
      </c>
      <c r="V38" s="186" t="s">
        <v>59</v>
      </c>
      <c r="W38" s="181"/>
      <c r="X38" s="176">
        <v>5</v>
      </c>
      <c r="Y38" s="180"/>
      <c r="Z38" s="180" t="s">
        <v>57</v>
      </c>
      <c r="AA38" s="176" t="s">
        <v>58</v>
      </c>
      <c r="AB38" s="176" t="s">
        <v>1136</v>
      </c>
      <c r="AC38" s="176" t="s">
        <v>59</v>
      </c>
      <c r="AD38" s="176" t="s">
        <v>91</v>
      </c>
      <c r="AE38" s="177" t="s">
        <v>1137</v>
      </c>
      <c r="AF38" s="177" t="s">
        <v>1138</v>
      </c>
      <c r="AG38" s="178"/>
      <c r="AH38" s="177"/>
      <c r="AI38" s="177" t="s">
        <v>1139</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1000</v>
      </c>
      <c r="L39" s="201">
        <v>0.15</v>
      </c>
      <c r="M39" s="121" t="s">
        <v>1135</v>
      </c>
      <c r="N39" s="193">
        <v>1.0490196078</v>
      </c>
      <c r="O39" s="193" t="s">
        <v>334</v>
      </c>
      <c r="P39" s="202"/>
      <c r="Q39" s="202"/>
      <c r="R39" s="182">
        <v>0</v>
      </c>
      <c r="S39" s="183" t="s">
        <v>935</v>
      </c>
      <c r="T39" s="184">
        <v>109</v>
      </c>
      <c r="U39" s="185">
        <v>133</v>
      </c>
      <c r="V39" s="186" t="s">
        <v>59</v>
      </c>
      <c r="W39" s="181"/>
      <c r="X39" s="176">
        <v>10</v>
      </c>
      <c r="Y39" s="180"/>
      <c r="Z39" s="180" t="s">
        <v>57</v>
      </c>
      <c r="AA39" s="176" t="s">
        <v>58</v>
      </c>
      <c r="AB39" s="176" t="s">
        <v>1136</v>
      </c>
      <c r="AC39" s="176" t="s">
        <v>59</v>
      </c>
      <c r="AD39" s="176" t="s">
        <v>91</v>
      </c>
      <c r="AE39" s="177" t="s">
        <v>1137</v>
      </c>
      <c r="AF39" s="177" t="s">
        <v>1138</v>
      </c>
      <c r="AG39" s="178"/>
      <c r="AH39" s="177"/>
      <c r="AI39" s="177" t="s">
        <v>1139</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1000</v>
      </c>
      <c r="L40" s="201">
        <v>0.12</v>
      </c>
      <c r="M40" s="121" t="s">
        <v>1135</v>
      </c>
      <c r="N40" s="193">
        <v>1</v>
      </c>
      <c r="O40" s="193" t="s">
        <v>334</v>
      </c>
      <c r="P40" s="202"/>
      <c r="Q40" s="202"/>
      <c r="R40" s="182">
        <v>0</v>
      </c>
      <c r="S40" s="183" t="s">
        <v>935</v>
      </c>
      <c r="T40" s="184">
        <v>109</v>
      </c>
      <c r="U40" s="185">
        <v>133</v>
      </c>
      <c r="V40" s="186" t="s">
        <v>59</v>
      </c>
      <c r="W40" s="181"/>
      <c r="X40" s="176">
        <v>25</v>
      </c>
      <c r="Y40" s="180"/>
      <c r="Z40" s="180" t="s">
        <v>57</v>
      </c>
      <c r="AA40" s="176" t="s">
        <v>58</v>
      </c>
      <c r="AB40" s="176" t="s">
        <v>1136</v>
      </c>
      <c r="AC40" s="176" t="s">
        <v>59</v>
      </c>
      <c r="AD40" s="176" t="s">
        <v>91</v>
      </c>
      <c r="AE40" s="177" t="s">
        <v>1137</v>
      </c>
      <c r="AF40" s="177" t="s">
        <v>1138</v>
      </c>
      <c r="AG40" s="178"/>
      <c r="AH40" s="177"/>
      <c r="AI40" s="177" t="s">
        <v>1139</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1000</v>
      </c>
      <c r="L41" s="201">
        <v>0.12</v>
      </c>
      <c r="M41" s="121" t="s">
        <v>1135</v>
      </c>
      <c r="N41" s="193">
        <v>1.0294117647000001</v>
      </c>
      <c r="O41" s="193" t="s">
        <v>334</v>
      </c>
      <c r="P41" s="202"/>
      <c r="Q41" s="202"/>
      <c r="R41" s="182">
        <v>0</v>
      </c>
      <c r="S41" s="183" t="s">
        <v>935</v>
      </c>
      <c r="T41" s="184">
        <v>109</v>
      </c>
      <c r="U41" s="185">
        <v>133</v>
      </c>
      <c r="V41" s="186" t="s">
        <v>59</v>
      </c>
      <c r="W41" s="181"/>
      <c r="X41" s="176">
        <v>75</v>
      </c>
      <c r="Y41" s="180"/>
      <c r="Z41" s="180" t="s">
        <v>57</v>
      </c>
      <c r="AA41" s="176" t="s">
        <v>58</v>
      </c>
      <c r="AB41" s="176" t="s">
        <v>1136</v>
      </c>
      <c r="AC41" s="176" t="s">
        <v>59</v>
      </c>
      <c r="AD41" s="176" t="s">
        <v>91</v>
      </c>
      <c r="AE41" s="177" t="s">
        <v>1137</v>
      </c>
      <c r="AF41" s="177" t="s">
        <v>1138</v>
      </c>
      <c r="AG41" s="178"/>
      <c r="AH41" s="177"/>
      <c r="AI41" s="177" t="s">
        <v>1139</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1000</v>
      </c>
      <c r="L42" s="201">
        <v>0.19</v>
      </c>
      <c r="M42" s="121" t="s">
        <v>1135</v>
      </c>
      <c r="N42" s="193">
        <v>0.8</v>
      </c>
      <c r="O42" s="193" t="s">
        <v>334</v>
      </c>
      <c r="P42" s="202"/>
      <c r="Q42" s="202"/>
      <c r="R42" s="182">
        <v>0</v>
      </c>
      <c r="S42" s="183" t="s">
        <v>935</v>
      </c>
      <c r="T42" s="184">
        <v>132</v>
      </c>
      <c r="U42" s="185" t="s">
        <v>935</v>
      </c>
      <c r="V42" s="186" t="s">
        <v>59</v>
      </c>
      <c r="W42" s="181"/>
      <c r="X42" s="176">
        <v>5</v>
      </c>
      <c r="Y42" s="180"/>
      <c r="Z42" s="180" t="s">
        <v>57</v>
      </c>
      <c r="AA42" s="176" t="s">
        <v>58</v>
      </c>
      <c r="AB42" s="176" t="s">
        <v>1136</v>
      </c>
      <c r="AC42" s="176" t="s">
        <v>59</v>
      </c>
      <c r="AD42" s="176" t="s">
        <v>91</v>
      </c>
      <c r="AE42" s="177" t="s">
        <v>1137</v>
      </c>
      <c r="AF42" s="177" t="s">
        <v>1138</v>
      </c>
      <c r="AG42" s="178"/>
      <c r="AH42" s="177"/>
      <c r="AI42" s="177" t="s">
        <v>1139</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1000</v>
      </c>
      <c r="L43" s="201">
        <v>0.17</v>
      </c>
      <c r="M43" s="121" t="s">
        <v>1135</v>
      </c>
      <c r="N43" s="193">
        <v>0.93333332999999996</v>
      </c>
      <c r="O43" s="193" t="s">
        <v>334</v>
      </c>
      <c r="P43" s="202"/>
      <c r="Q43" s="202"/>
      <c r="R43" s="182">
        <v>0</v>
      </c>
      <c r="S43" s="183" t="s">
        <v>935</v>
      </c>
      <c r="T43" s="184">
        <v>132</v>
      </c>
      <c r="U43" s="185" t="s">
        <v>935</v>
      </c>
      <c r="V43" s="186" t="s">
        <v>59</v>
      </c>
      <c r="W43" s="181"/>
      <c r="X43" s="176">
        <v>10</v>
      </c>
      <c r="Y43" s="180"/>
      <c r="Z43" s="180" t="s">
        <v>57</v>
      </c>
      <c r="AA43" s="176" t="s">
        <v>58</v>
      </c>
      <c r="AB43" s="176" t="s">
        <v>1136</v>
      </c>
      <c r="AC43" s="176" t="s">
        <v>59</v>
      </c>
      <c r="AD43" s="176" t="s">
        <v>91</v>
      </c>
      <c r="AE43" s="177" t="s">
        <v>1137</v>
      </c>
      <c r="AF43" s="177" t="s">
        <v>1138</v>
      </c>
      <c r="AG43" s="178"/>
      <c r="AH43" s="177"/>
      <c r="AI43" s="177" t="s">
        <v>1139</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1000</v>
      </c>
      <c r="L44" s="201">
        <v>0.1</v>
      </c>
      <c r="M44" s="121" t="s">
        <v>1135</v>
      </c>
      <c r="N44" s="193">
        <v>0.50666666660000004</v>
      </c>
      <c r="O44" s="193" t="s">
        <v>334</v>
      </c>
      <c r="P44" s="202"/>
      <c r="Q44" s="202"/>
      <c r="R44" s="182">
        <v>0</v>
      </c>
      <c r="S44" s="183" t="s">
        <v>935</v>
      </c>
      <c r="T44" s="184">
        <v>132</v>
      </c>
      <c r="U44" s="185" t="s">
        <v>935</v>
      </c>
      <c r="V44" s="186" t="s">
        <v>59</v>
      </c>
      <c r="W44" s="181"/>
      <c r="X44" s="176">
        <v>25</v>
      </c>
      <c r="Y44" s="180"/>
      <c r="Z44" s="180" t="s">
        <v>57</v>
      </c>
      <c r="AA44" s="176" t="s">
        <v>58</v>
      </c>
      <c r="AB44" s="176" t="s">
        <v>1136</v>
      </c>
      <c r="AC44" s="176" t="s">
        <v>59</v>
      </c>
      <c r="AD44" s="176" t="s">
        <v>91</v>
      </c>
      <c r="AE44" s="177" t="s">
        <v>1137</v>
      </c>
      <c r="AF44" s="177" t="s">
        <v>1138</v>
      </c>
      <c r="AG44" s="178"/>
      <c r="AH44" s="177"/>
      <c r="AI44" s="177" t="s">
        <v>1139</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1000</v>
      </c>
      <c r="L45" s="201">
        <v>0.09</v>
      </c>
      <c r="M45" s="121" t="s">
        <v>1135</v>
      </c>
      <c r="N45" s="193">
        <v>0.34</v>
      </c>
      <c r="O45" s="193" t="s">
        <v>334</v>
      </c>
      <c r="P45" s="202"/>
      <c r="Q45" s="202"/>
      <c r="R45" s="182">
        <v>0</v>
      </c>
      <c r="S45" s="183" t="s">
        <v>935</v>
      </c>
      <c r="T45" s="184">
        <v>132</v>
      </c>
      <c r="U45" s="185" t="s">
        <v>935</v>
      </c>
      <c r="V45" s="186" t="s">
        <v>59</v>
      </c>
      <c r="W45" s="181"/>
      <c r="X45" s="176">
        <v>75</v>
      </c>
      <c r="Y45" s="180"/>
      <c r="Z45" s="180" t="s">
        <v>57</v>
      </c>
      <c r="AA45" s="176" t="s">
        <v>58</v>
      </c>
      <c r="AB45" s="176" t="s">
        <v>1136</v>
      </c>
      <c r="AC45" s="176" t="s">
        <v>59</v>
      </c>
      <c r="AD45" s="176" t="s">
        <v>91</v>
      </c>
      <c r="AE45" s="177" t="s">
        <v>1137</v>
      </c>
      <c r="AF45" s="177" t="s">
        <v>1138</v>
      </c>
      <c r="AG45" s="178"/>
      <c r="AH45" s="177"/>
      <c r="AI45" s="177" t="s">
        <v>1139</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1000</v>
      </c>
      <c r="L46" s="201">
        <v>0.16</v>
      </c>
      <c r="M46" s="121" t="s">
        <v>1135</v>
      </c>
      <c r="N46" s="193">
        <v>0.86274509799999999</v>
      </c>
      <c r="O46" s="193" t="s">
        <v>334</v>
      </c>
      <c r="P46" s="202"/>
      <c r="Q46" s="202"/>
      <c r="R46" s="182">
        <v>0</v>
      </c>
      <c r="S46" s="183" t="s">
        <v>935</v>
      </c>
      <c r="T46" s="184">
        <v>133</v>
      </c>
      <c r="U46" s="185" t="s">
        <v>935</v>
      </c>
      <c r="V46" s="186" t="s">
        <v>59</v>
      </c>
      <c r="W46" s="181"/>
      <c r="X46" s="176">
        <v>5</v>
      </c>
      <c r="Y46" s="180"/>
      <c r="Z46" s="180" t="s">
        <v>57</v>
      </c>
      <c r="AA46" s="176" t="s">
        <v>58</v>
      </c>
      <c r="AB46" s="176" t="s">
        <v>1136</v>
      </c>
      <c r="AC46" s="176" t="s">
        <v>59</v>
      </c>
      <c r="AD46" s="176" t="s">
        <v>91</v>
      </c>
      <c r="AE46" s="177" t="s">
        <v>1137</v>
      </c>
      <c r="AF46" s="177" t="s">
        <v>1138</v>
      </c>
      <c r="AG46" s="178"/>
      <c r="AH46" s="177"/>
      <c r="AI46" s="177" t="s">
        <v>1139</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1000</v>
      </c>
      <c r="L47" s="201">
        <v>0.23</v>
      </c>
      <c r="M47" s="121" t="s">
        <v>1135</v>
      </c>
      <c r="N47" s="193">
        <v>0.86274509799999999</v>
      </c>
      <c r="O47" s="193" t="s">
        <v>334</v>
      </c>
      <c r="P47" s="202"/>
      <c r="Q47" s="202"/>
      <c r="R47" s="182">
        <v>0</v>
      </c>
      <c r="S47" s="183" t="s">
        <v>935</v>
      </c>
      <c r="T47" s="184">
        <v>133</v>
      </c>
      <c r="U47" s="185" t="s">
        <v>935</v>
      </c>
      <c r="V47" s="186" t="s">
        <v>59</v>
      </c>
      <c r="W47" s="181"/>
      <c r="X47" s="176">
        <v>10</v>
      </c>
      <c r="Y47" s="180"/>
      <c r="Z47" s="180" t="s">
        <v>57</v>
      </c>
      <c r="AA47" s="176" t="s">
        <v>58</v>
      </c>
      <c r="AB47" s="176" t="s">
        <v>1136</v>
      </c>
      <c r="AC47" s="176" t="s">
        <v>59</v>
      </c>
      <c r="AD47" s="176" t="s">
        <v>91</v>
      </c>
      <c r="AE47" s="177" t="s">
        <v>1137</v>
      </c>
      <c r="AF47" s="177" t="s">
        <v>1138</v>
      </c>
      <c r="AG47" s="178"/>
      <c r="AH47" s="177"/>
      <c r="AI47" s="177" t="s">
        <v>1139</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1000</v>
      </c>
      <c r="L48" s="201">
        <v>0.1</v>
      </c>
      <c r="M48" s="121" t="s">
        <v>1135</v>
      </c>
      <c r="N48" s="193">
        <v>0.49019607840000001</v>
      </c>
      <c r="O48" s="193" t="s">
        <v>334</v>
      </c>
      <c r="P48" s="202"/>
      <c r="Q48" s="202"/>
      <c r="R48" s="182">
        <v>0</v>
      </c>
      <c r="S48" s="183" t="s">
        <v>935</v>
      </c>
      <c r="T48" s="184">
        <v>133</v>
      </c>
      <c r="U48" s="185" t="s">
        <v>935</v>
      </c>
      <c r="V48" s="186" t="s">
        <v>59</v>
      </c>
      <c r="W48" s="181"/>
      <c r="X48" s="176">
        <v>25</v>
      </c>
      <c r="Y48" s="180"/>
      <c r="Z48" s="180" t="s">
        <v>57</v>
      </c>
      <c r="AA48" s="176" t="s">
        <v>58</v>
      </c>
      <c r="AB48" s="176" t="s">
        <v>1136</v>
      </c>
      <c r="AC48" s="176" t="s">
        <v>59</v>
      </c>
      <c r="AD48" s="176" t="s">
        <v>91</v>
      </c>
      <c r="AE48" s="177" t="s">
        <v>1137</v>
      </c>
      <c r="AF48" s="177" t="s">
        <v>1138</v>
      </c>
      <c r="AG48" s="178"/>
      <c r="AH48" s="177"/>
      <c r="AI48" s="177" t="s">
        <v>1139</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1000</v>
      </c>
      <c r="L49" s="201">
        <v>0.06</v>
      </c>
      <c r="M49" s="121" t="s">
        <v>1135</v>
      </c>
      <c r="N49" s="193">
        <v>0.25490196078400001</v>
      </c>
      <c r="O49" s="193" t="s">
        <v>334</v>
      </c>
      <c r="P49" s="202"/>
      <c r="Q49" s="202"/>
      <c r="R49" s="182">
        <v>0</v>
      </c>
      <c r="S49" s="183" t="s">
        <v>935</v>
      </c>
      <c r="T49" s="184">
        <v>133</v>
      </c>
      <c r="U49" s="185" t="s">
        <v>935</v>
      </c>
      <c r="V49" s="186" t="s">
        <v>59</v>
      </c>
      <c r="W49" s="181"/>
      <c r="X49" s="176">
        <v>75</v>
      </c>
      <c r="Y49" s="180"/>
      <c r="Z49" s="180" t="s">
        <v>57</v>
      </c>
      <c r="AA49" s="176" t="s">
        <v>58</v>
      </c>
      <c r="AB49" s="176" t="s">
        <v>1136</v>
      </c>
      <c r="AC49" s="176" t="s">
        <v>59</v>
      </c>
      <c r="AD49" s="176" t="s">
        <v>91</v>
      </c>
      <c r="AE49" s="177" t="s">
        <v>1137</v>
      </c>
      <c r="AF49" s="177" t="s">
        <v>1138</v>
      </c>
      <c r="AG49" s="178"/>
      <c r="AH49" s="177"/>
      <c r="AI49" s="177" t="s">
        <v>1139</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1000</v>
      </c>
      <c r="L50" s="201"/>
      <c r="M50" s="201"/>
      <c r="N50" s="193">
        <v>0.78</v>
      </c>
      <c r="O50" s="193" t="s">
        <v>1000</v>
      </c>
      <c r="P50" s="202"/>
      <c r="Q50" s="202"/>
      <c r="R50" s="182">
        <v>0</v>
      </c>
      <c r="S50" s="183" t="s">
        <v>935</v>
      </c>
      <c r="T50" s="184">
        <v>324</v>
      </c>
      <c r="U50" s="185" t="s">
        <v>935</v>
      </c>
      <c r="V50" s="186" t="s">
        <v>59</v>
      </c>
      <c r="W50" s="181"/>
      <c r="X50" s="136">
        <v>600</v>
      </c>
      <c r="Y50" s="137"/>
      <c r="Z50" s="137" t="s">
        <v>57</v>
      </c>
      <c r="AA50" s="136" t="s">
        <v>58</v>
      </c>
      <c r="AB50" s="136" t="s">
        <v>434</v>
      </c>
      <c r="AC50" s="136" t="s">
        <v>59</v>
      </c>
      <c r="AD50" s="136" t="s">
        <v>1318</v>
      </c>
      <c r="AE50" s="174" t="s">
        <v>1137</v>
      </c>
      <c r="AF50" s="174" t="s">
        <v>2941</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1000</v>
      </c>
      <c r="L51" s="201"/>
      <c r="M51" s="201"/>
      <c r="N51" s="193">
        <v>1.55</v>
      </c>
      <c r="O51" s="193" t="s">
        <v>1000</v>
      </c>
      <c r="P51" s="202"/>
      <c r="Q51" s="202"/>
      <c r="R51" s="182">
        <v>0</v>
      </c>
      <c r="S51" s="183" t="s">
        <v>935</v>
      </c>
      <c r="T51" s="184">
        <v>360</v>
      </c>
      <c r="U51" s="185" t="s">
        <v>935</v>
      </c>
      <c r="V51" s="186" t="s">
        <v>59</v>
      </c>
      <c r="W51" s="181"/>
      <c r="X51" s="136">
        <v>600</v>
      </c>
      <c r="Y51" s="137"/>
      <c r="Z51" s="137" t="s">
        <v>57</v>
      </c>
      <c r="AA51" s="136" t="s">
        <v>58</v>
      </c>
      <c r="AB51" s="136" t="s">
        <v>434</v>
      </c>
      <c r="AC51" s="136" t="s">
        <v>59</v>
      </c>
      <c r="AD51" s="136" t="s">
        <v>1318</v>
      </c>
      <c r="AE51" s="174" t="s">
        <v>1137</v>
      </c>
      <c r="AF51" s="174" t="s">
        <v>2941</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935</v>
      </c>
      <c r="T52" s="184">
        <v>79</v>
      </c>
      <c r="U52" s="185" t="s">
        <v>935</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935</v>
      </c>
      <c r="T53" s="184">
        <v>79</v>
      </c>
      <c r="U53" s="185" t="s">
        <v>935</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1"/>
        <v>PO</v>
      </c>
      <c r="I54" s="205" t="str">
        <f>IF(AND(A54&lt;&gt;"",ISNUMBER(A54)),VLOOKUP(A54,Studies!A:BR,6,FALSE),"")</f>
        <v>Plasma</v>
      </c>
      <c r="J54" s="187">
        <v>2.35</v>
      </c>
      <c r="K54" s="187"/>
      <c r="L54" s="201" t="s">
        <v>1092</v>
      </c>
      <c r="M54" s="201" t="s">
        <v>971</v>
      </c>
      <c r="N54" s="166">
        <v>2.0099999999999998</v>
      </c>
      <c r="O54" s="166"/>
      <c r="P54" s="178" t="s">
        <v>1093</v>
      </c>
      <c r="Q54" s="178" t="s">
        <v>971</v>
      </c>
      <c r="R54" s="182">
        <v>0</v>
      </c>
      <c r="S54" s="183" t="s">
        <v>935</v>
      </c>
      <c r="T54" s="184">
        <v>114</v>
      </c>
      <c r="U54" s="185" t="s">
        <v>935</v>
      </c>
      <c r="V54" s="186" t="s">
        <v>59</v>
      </c>
      <c r="W54" s="181"/>
      <c r="X54" s="176">
        <v>100</v>
      </c>
      <c r="Y54" s="137"/>
      <c r="Z54" s="137" t="s">
        <v>57</v>
      </c>
      <c r="AA54" s="176" t="s">
        <v>58</v>
      </c>
      <c r="AB54" s="176" t="s">
        <v>182</v>
      </c>
      <c r="AC54" s="136" t="s">
        <v>59</v>
      </c>
      <c r="AD54" s="176" t="s">
        <v>78</v>
      </c>
      <c r="AE54" s="174"/>
      <c r="AF54" s="177" t="s">
        <v>1094</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1095</v>
      </c>
      <c r="M55" s="201" t="s">
        <v>1096</v>
      </c>
      <c r="N55" s="166">
        <v>0.16300000000000001</v>
      </c>
      <c r="O55" s="166"/>
      <c r="P55" s="178" t="s">
        <v>1097</v>
      </c>
      <c r="Q55" s="178" t="s">
        <v>1096</v>
      </c>
      <c r="R55" s="182">
        <v>0</v>
      </c>
      <c r="S55" s="183" t="s">
        <v>935</v>
      </c>
      <c r="T55" s="184">
        <v>113</v>
      </c>
      <c r="U55" s="185" t="s">
        <v>935</v>
      </c>
      <c r="V55" s="186" t="s">
        <v>59</v>
      </c>
      <c r="W55" s="181"/>
      <c r="X55" s="176">
        <v>30</v>
      </c>
      <c r="Y55" s="137"/>
      <c r="Z55" s="137" t="s">
        <v>57</v>
      </c>
      <c r="AA55" s="176" t="s">
        <v>58</v>
      </c>
      <c r="AB55" s="176" t="s">
        <v>182</v>
      </c>
      <c r="AC55" s="136" t="s">
        <v>59</v>
      </c>
      <c r="AD55" s="176" t="s">
        <v>78</v>
      </c>
      <c r="AE55" s="174"/>
      <c r="AF55" s="177" t="s">
        <v>1098</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935</v>
      </c>
      <c r="T56" s="184">
        <v>30</v>
      </c>
      <c r="U56" s="185" t="s">
        <v>935</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935</v>
      </c>
      <c r="T57" s="184">
        <v>30</v>
      </c>
      <c r="U57" s="185" t="s">
        <v>935</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1"/>
        <v>PO</v>
      </c>
      <c r="I58" s="205" t="str">
        <f>IF(AND(A58&lt;&gt;"",ISNUMBER(A58)),VLOOKUP(A58,Studies!A:BR,6,FALSE),"")</f>
        <v>Serum</v>
      </c>
      <c r="J58" s="187">
        <v>0.81734693877551023</v>
      </c>
      <c r="K58" s="187" t="s">
        <v>1099</v>
      </c>
      <c r="L58" s="201"/>
      <c r="M58" s="201"/>
      <c r="N58" s="193"/>
      <c r="O58" s="193"/>
      <c r="P58" s="202"/>
      <c r="Q58" s="202"/>
      <c r="R58" s="182">
        <v>0</v>
      </c>
      <c r="S58" s="183" t="s">
        <v>935</v>
      </c>
      <c r="T58" s="184">
        <v>144</v>
      </c>
      <c r="U58" s="185" t="s">
        <v>935</v>
      </c>
      <c r="V58" s="186" t="s">
        <v>59</v>
      </c>
      <c r="W58" s="181"/>
      <c r="X58" s="136">
        <v>600</v>
      </c>
      <c r="Y58" s="137"/>
      <c r="Z58" s="137" t="s">
        <v>57</v>
      </c>
      <c r="AA58" s="136" t="s">
        <v>58</v>
      </c>
      <c r="AB58" s="136" t="s">
        <v>1136</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f t="shared" si="1"/>
        <v>0</v>
      </c>
      <c r="I59" s="205" t="str">
        <f>IF(AND(A59&lt;&gt;"",ISNUMBER(A59)),VLOOKUP(A59,Studies!A:BR,6,FALSE),"")</f>
        <v>Serum</v>
      </c>
      <c r="J59" s="187">
        <v>1.0918367346938775</v>
      </c>
      <c r="K59" s="187" t="s">
        <v>1099</v>
      </c>
      <c r="L59" s="201"/>
      <c r="M59" s="201"/>
      <c r="N59" s="193"/>
      <c r="O59" s="193"/>
      <c r="P59" s="202"/>
      <c r="Q59" s="202"/>
      <c r="R59" s="182">
        <v>0</v>
      </c>
      <c r="S59" s="183" t="s">
        <v>935</v>
      </c>
      <c r="T59" s="184">
        <v>96</v>
      </c>
      <c r="U59" s="185" t="s">
        <v>935</v>
      </c>
      <c r="V59" s="186" t="s">
        <v>59</v>
      </c>
      <c r="W59" s="181"/>
      <c r="X59" s="136">
        <v>200</v>
      </c>
      <c r="Y59" s="137"/>
      <c r="Z59" s="137" t="s">
        <v>57</v>
      </c>
      <c r="AA59" s="136"/>
      <c r="AB59" s="136" t="s">
        <v>830</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si="1"/>
        <v>PO</v>
      </c>
      <c r="I60" s="205" t="str">
        <f>IF(AND(A60&lt;&gt;"",ISNUMBER(A60)),VLOOKUP(A60,Studies!A:BR,6,FALSE),"")</f>
        <v>Plasma</v>
      </c>
      <c r="J60" s="187">
        <v>0.65500794910000004</v>
      </c>
      <c r="K60" s="187" t="s">
        <v>1140</v>
      </c>
      <c r="L60" s="201"/>
      <c r="M60" s="201"/>
      <c r="N60" s="193">
        <v>1.1059602649</v>
      </c>
      <c r="O60" s="193" t="s">
        <v>1140</v>
      </c>
      <c r="P60" s="202"/>
      <c r="Q60" s="202"/>
      <c r="R60" s="182">
        <v>0</v>
      </c>
      <c r="S60" s="183" t="s">
        <v>935</v>
      </c>
      <c r="T60" s="184">
        <v>144</v>
      </c>
      <c r="U60" s="185" t="s">
        <v>935</v>
      </c>
      <c r="V60" s="186" t="s">
        <v>59</v>
      </c>
      <c r="W60" s="181"/>
      <c r="X60" s="176">
        <v>600</v>
      </c>
      <c r="Y60" s="180"/>
      <c r="Z60" s="180" t="s">
        <v>57</v>
      </c>
      <c r="AA60" s="176" t="s">
        <v>58</v>
      </c>
      <c r="AB60" s="176" t="s">
        <v>1136</v>
      </c>
      <c r="AC60" s="176" t="s">
        <v>59</v>
      </c>
      <c r="AD60" s="176" t="s">
        <v>91</v>
      </c>
      <c r="AE60" s="177" t="s">
        <v>1141</v>
      </c>
      <c r="AF60" s="177" t="s">
        <v>1142</v>
      </c>
      <c r="AG60" s="178"/>
      <c r="AH60" s="177"/>
      <c r="AI60" s="177" t="s">
        <v>1143</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1"/>
        <v>PO</v>
      </c>
      <c r="I61" s="205" t="str">
        <f>IF(AND(A61&lt;&gt;"",ISNUMBER(A61)),VLOOKUP(A61,Studies!A:BR,6,FALSE),"")</f>
        <v>Plasma</v>
      </c>
      <c r="J61" s="187">
        <v>1.554907677E-2</v>
      </c>
      <c r="K61" s="187" t="s">
        <v>1140</v>
      </c>
      <c r="L61" s="201"/>
      <c r="M61" s="201"/>
      <c r="N61" s="193">
        <v>3.4865292999999999E-2</v>
      </c>
      <c r="O61" s="193" t="s">
        <v>1140</v>
      </c>
      <c r="P61" s="202"/>
      <c r="Q61" s="202"/>
      <c r="R61" s="182">
        <v>0</v>
      </c>
      <c r="S61" s="183" t="s">
        <v>935</v>
      </c>
      <c r="T61" s="184">
        <v>144</v>
      </c>
      <c r="U61" s="185" t="s">
        <v>935</v>
      </c>
      <c r="V61" s="186" t="s">
        <v>59</v>
      </c>
      <c r="W61" s="181"/>
      <c r="X61" s="176">
        <v>600</v>
      </c>
      <c r="Y61" s="180"/>
      <c r="Z61" s="180" t="s">
        <v>57</v>
      </c>
      <c r="AA61" s="176" t="s">
        <v>58</v>
      </c>
      <c r="AB61" s="176" t="s">
        <v>1136</v>
      </c>
      <c r="AC61" s="176" t="s">
        <v>59</v>
      </c>
      <c r="AD61" s="176" t="s">
        <v>91</v>
      </c>
      <c r="AE61" s="177" t="s">
        <v>1141</v>
      </c>
      <c r="AF61" s="177" t="s">
        <v>1142</v>
      </c>
      <c r="AG61" s="178"/>
      <c r="AH61" s="177"/>
      <c r="AI61" s="177" t="s">
        <v>1143</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205" t="str">
        <f>IF(AND(A62&lt;&gt;"",ISNUMBER(A62)),VLOOKUP(A62,Studies!A:BR,6,FALSE),"")</f>
        <v>Plasma</v>
      </c>
      <c r="J62" s="187">
        <f>1/0.18</f>
        <v>5.5555555555555554</v>
      </c>
      <c r="K62" s="187" t="s">
        <v>2878</v>
      </c>
      <c r="L62" s="201" t="str">
        <f>1/0.21&amp;"-"&amp;1/0.15</f>
        <v>4.76190476190476-6.66666666666667</v>
      </c>
      <c r="M62" s="201"/>
      <c r="N62" s="193"/>
      <c r="O62" s="193"/>
      <c r="P62" s="202"/>
      <c r="Q62" s="202"/>
      <c r="R62" s="182">
        <v>0</v>
      </c>
      <c r="S62" s="183" t="s">
        <v>935</v>
      </c>
      <c r="T62" s="184">
        <f>3*24+15/60</f>
        <v>72.25</v>
      </c>
      <c r="U62" s="185" t="s">
        <v>935</v>
      </c>
      <c r="V62" s="186" t="s">
        <v>59</v>
      </c>
      <c r="W62" s="181" t="s">
        <v>2877</v>
      </c>
      <c r="X62" s="176">
        <v>500</v>
      </c>
      <c r="Y62" s="180"/>
      <c r="Z62" s="180" t="s">
        <v>57</v>
      </c>
      <c r="AA62" s="176" t="s">
        <v>58</v>
      </c>
      <c r="AB62" s="136" t="s">
        <v>2875</v>
      </c>
      <c r="AC62" s="176" t="s">
        <v>59</v>
      </c>
      <c r="AD62" s="176" t="s">
        <v>91</v>
      </c>
      <c r="AE62" s="177"/>
      <c r="AF62" s="177" t="s">
        <v>2876</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93" si="2">AA63</f>
        <v>PO</v>
      </c>
      <c r="I63" s="205" t="str">
        <f>IF(AND(A63&lt;&gt;"",ISNUMBER(A63)),VLOOKUP(A63,Studies!A:BR,6,FALSE),"")</f>
        <v>Plasma</v>
      </c>
      <c r="J63" s="187">
        <f>2.32/2</f>
        <v>1.1599999999999999</v>
      </c>
      <c r="K63" s="187" t="s">
        <v>115</v>
      </c>
      <c r="L63" s="201">
        <f>0.9/2</f>
        <v>0.45</v>
      </c>
      <c r="M63" s="201" t="s">
        <v>116</v>
      </c>
      <c r="N63" s="193">
        <f>20/(11*2)</f>
        <v>0.90909090909090906</v>
      </c>
      <c r="O63" s="193" t="s">
        <v>1099</v>
      </c>
      <c r="P63" s="202"/>
      <c r="Q63" s="202"/>
      <c r="R63" s="182">
        <v>0</v>
      </c>
      <c r="S63" s="183">
        <v>25</v>
      </c>
      <c r="T63" s="184">
        <v>25</v>
      </c>
      <c r="U63" s="185">
        <v>73</v>
      </c>
      <c r="V63" s="186" t="s">
        <v>59</v>
      </c>
      <c r="W63" s="181" t="s">
        <v>2986</v>
      </c>
      <c r="X63" s="176">
        <v>200</v>
      </c>
      <c r="Y63" s="180"/>
      <c r="Z63" s="180" t="s">
        <v>57</v>
      </c>
      <c r="AA63" s="176" t="s">
        <v>58</v>
      </c>
      <c r="AB63" s="176" t="s">
        <v>1159</v>
      </c>
      <c r="AC63" s="176" t="s">
        <v>59</v>
      </c>
      <c r="AD63" s="176" t="s">
        <v>91</v>
      </c>
      <c r="AE63" s="177" t="s">
        <v>1160</v>
      </c>
      <c r="AF63" s="177" t="s">
        <v>2942</v>
      </c>
      <c r="AG63" s="178"/>
      <c r="AH63" s="177">
        <v>150</v>
      </c>
      <c r="AI63" s="177"/>
      <c r="AJ63" s="193" t="s">
        <v>435</v>
      </c>
      <c r="AK63" s="193"/>
      <c r="AL63" s="193"/>
      <c r="AM63" s="193" t="s">
        <v>1161</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f>3.38/2</f>
        <v>1.69</v>
      </c>
      <c r="K64" s="187" t="s">
        <v>115</v>
      </c>
      <c r="L64" s="201">
        <f>1.6/2</f>
        <v>0.8</v>
      </c>
      <c r="M64" s="201" t="s">
        <v>116</v>
      </c>
      <c r="N64" s="193">
        <f>26.4/(11*2)</f>
        <v>1.2</v>
      </c>
      <c r="O64" s="193" t="s">
        <v>1099</v>
      </c>
      <c r="P64" s="202"/>
      <c r="Q64" s="202"/>
      <c r="R64" s="182">
        <v>0</v>
      </c>
      <c r="S64" s="183">
        <v>25</v>
      </c>
      <c r="T64" s="184">
        <v>73</v>
      </c>
      <c r="U64" s="185">
        <v>145</v>
      </c>
      <c r="V64" s="186" t="s">
        <v>59</v>
      </c>
      <c r="W64" s="181" t="s">
        <v>2986</v>
      </c>
      <c r="X64" s="176">
        <v>200</v>
      </c>
      <c r="Y64" s="180"/>
      <c r="Z64" s="180" t="s">
        <v>57</v>
      </c>
      <c r="AA64" s="176" t="s">
        <v>58</v>
      </c>
      <c r="AB64" s="176" t="s">
        <v>1162</v>
      </c>
      <c r="AC64" s="176" t="s">
        <v>59</v>
      </c>
      <c r="AD64" s="176" t="s">
        <v>91</v>
      </c>
      <c r="AE64" s="177" t="s">
        <v>1160</v>
      </c>
      <c r="AF64" s="177" t="s">
        <v>2942</v>
      </c>
      <c r="AG64" s="178"/>
      <c r="AH64" s="177">
        <v>150</v>
      </c>
      <c r="AI64" s="177"/>
      <c r="AJ64" s="193" t="s">
        <v>435</v>
      </c>
      <c r="AK64" s="193"/>
      <c r="AL64" s="193"/>
      <c r="AM64" s="193" t="s">
        <v>1161</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f>3.38/2</f>
        <v>1.69</v>
      </c>
      <c r="K65" s="187" t="s">
        <v>115</v>
      </c>
      <c r="L65" s="201">
        <f>1.4/2</f>
        <v>0.7</v>
      </c>
      <c r="M65" s="201" t="s">
        <v>116</v>
      </c>
      <c r="N65" s="193">
        <f>25.8/(11*2)</f>
        <v>1.1727272727272728</v>
      </c>
      <c r="O65" s="193" t="s">
        <v>1099</v>
      </c>
      <c r="P65" s="202"/>
      <c r="Q65" s="202"/>
      <c r="R65" s="182">
        <v>0</v>
      </c>
      <c r="S65" s="183">
        <v>25</v>
      </c>
      <c r="T65" s="184">
        <v>145</v>
      </c>
      <c r="U65" s="185" t="s">
        <v>935</v>
      </c>
      <c r="V65" s="186" t="s">
        <v>59</v>
      </c>
      <c r="W65" s="181" t="s">
        <v>2986</v>
      </c>
      <c r="X65" s="176">
        <v>200</v>
      </c>
      <c r="Y65" s="180"/>
      <c r="Z65" s="180" t="s">
        <v>57</v>
      </c>
      <c r="AA65" s="176" t="s">
        <v>58</v>
      </c>
      <c r="AB65" s="176" t="s">
        <v>1163</v>
      </c>
      <c r="AC65" s="176" t="s">
        <v>59</v>
      </c>
      <c r="AD65" s="176" t="s">
        <v>91</v>
      </c>
      <c r="AE65" s="177" t="s">
        <v>1160</v>
      </c>
      <c r="AF65" s="177" t="s">
        <v>2942</v>
      </c>
      <c r="AG65" s="178"/>
      <c r="AH65" s="177">
        <v>150</v>
      </c>
      <c r="AI65" s="177"/>
      <c r="AJ65" s="193" t="s">
        <v>435</v>
      </c>
      <c r="AK65" s="193"/>
      <c r="AL65" s="193"/>
      <c r="AM65" s="193" t="s">
        <v>1161</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1000</v>
      </c>
      <c r="L66" s="201" t="s">
        <v>2862</v>
      </c>
      <c r="M66" s="201" t="s">
        <v>971</v>
      </c>
      <c r="N66" s="193">
        <v>2.7</v>
      </c>
      <c r="O66" s="193" t="s">
        <v>1099</v>
      </c>
      <c r="P66" s="202"/>
      <c r="Q66" s="202"/>
      <c r="R66" s="182">
        <v>0</v>
      </c>
      <c r="S66" s="183" t="s">
        <v>935</v>
      </c>
      <c r="T66" s="184">
        <v>128</v>
      </c>
      <c r="U66" s="185" t="s">
        <v>935</v>
      </c>
      <c r="V66" s="186" t="s">
        <v>59</v>
      </c>
      <c r="W66" s="181" t="s">
        <v>2957</v>
      </c>
      <c r="X66" s="176">
        <v>500</v>
      </c>
      <c r="Y66" s="180"/>
      <c r="Z66" s="180" t="s">
        <v>57</v>
      </c>
      <c r="AA66" s="176" t="s">
        <v>58</v>
      </c>
      <c r="AB66" s="176" t="s">
        <v>1152</v>
      </c>
      <c r="AC66" s="176" t="s">
        <v>59</v>
      </c>
      <c r="AD66" s="176" t="s">
        <v>1153</v>
      </c>
      <c r="AE66" s="177" t="s">
        <v>357</v>
      </c>
      <c r="AF66" s="177" t="s">
        <v>1154</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1000</v>
      </c>
      <c r="L67" s="201" t="s">
        <v>2863</v>
      </c>
      <c r="M67" s="201" t="s">
        <v>971</v>
      </c>
      <c r="N67" s="193"/>
      <c r="O67" s="193"/>
      <c r="P67" s="202"/>
      <c r="Q67" s="202"/>
      <c r="R67" s="182">
        <v>0</v>
      </c>
      <c r="S67" s="183" t="s">
        <v>935</v>
      </c>
      <c r="T67" s="184">
        <v>128</v>
      </c>
      <c r="U67" s="185" t="s">
        <v>935</v>
      </c>
      <c r="V67" s="186" t="s">
        <v>59</v>
      </c>
      <c r="W67" s="181" t="s">
        <v>2957</v>
      </c>
      <c r="X67" s="176">
        <v>500</v>
      </c>
      <c r="Y67" s="180"/>
      <c r="Z67" s="180" t="s">
        <v>57</v>
      </c>
      <c r="AA67" s="176" t="s">
        <v>58</v>
      </c>
      <c r="AB67" s="176" t="s">
        <v>1152</v>
      </c>
      <c r="AC67" s="176" t="s">
        <v>59</v>
      </c>
      <c r="AD67" s="176" t="s">
        <v>1153</v>
      </c>
      <c r="AE67" s="177" t="s">
        <v>357</v>
      </c>
      <c r="AF67" s="177" t="s">
        <v>1154</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935</v>
      </c>
      <c r="T68" s="217">
        <v>73</v>
      </c>
      <c r="U68" s="218" t="s">
        <v>935</v>
      </c>
      <c r="V68" s="219" t="s">
        <v>59</v>
      </c>
      <c r="W68" s="220"/>
      <c r="X68" s="206">
        <v>200</v>
      </c>
      <c r="Y68" s="207"/>
      <c r="Z68" s="207" t="s">
        <v>57</v>
      </c>
      <c r="AA68" s="206" t="s">
        <v>58</v>
      </c>
      <c r="AB68" s="206" t="s">
        <v>830</v>
      </c>
      <c r="AC68" s="206" t="s">
        <v>59</v>
      </c>
      <c r="AD68" s="206" t="s">
        <v>91</v>
      </c>
      <c r="AE68" s="208" t="s">
        <v>831</v>
      </c>
      <c r="AF68" s="208" t="s">
        <v>832</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935</v>
      </c>
      <c r="T69" s="217">
        <v>73</v>
      </c>
      <c r="U69" s="218" t="s">
        <v>935</v>
      </c>
      <c r="V69" s="219" t="s">
        <v>59</v>
      </c>
      <c r="W69" s="220"/>
      <c r="X69" s="206">
        <v>400</v>
      </c>
      <c r="Y69" s="207"/>
      <c r="Z69" s="207" t="s">
        <v>57</v>
      </c>
      <c r="AA69" s="206" t="s">
        <v>58</v>
      </c>
      <c r="AB69" s="206" t="s">
        <v>830</v>
      </c>
      <c r="AC69" s="206" t="s">
        <v>59</v>
      </c>
      <c r="AD69" s="206" t="s">
        <v>91</v>
      </c>
      <c r="AE69" s="208" t="s">
        <v>834</v>
      </c>
      <c r="AF69" s="208" t="s">
        <v>835</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935</v>
      </c>
      <c r="T70" s="217">
        <v>2</v>
      </c>
      <c r="U70" s="218">
        <v>74</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1099</v>
      </c>
      <c r="L71" s="212"/>
      <c r="M71" s="212"/>
      <c r="N71" s="213"/>
      <c r="O71" s="213"/>
      <c r="P71" s="214"/>
      <c r="Q71" s="214"/>
      <c r="R71" s="215">
        <v>0</v>
      </c>
      <c r="S71" s="216" t="s">
        <v>935</v>
      </c>
      <c r="T71" s="217">
        <v>74</v>
      </c>
      <c r="U71" s="218">
        <v>122</v>
      </c>
      <c r="V71" s="219" t="s">
        <v>59</v>
      </c>
      <c r="W71" s="220"/>
      <c r="X71" s="221">
        <v>200</v>
      </c>
      <c r="Y71" s="222"/>
      <c r="Z71" s="222" t="s">
        <v>57</v>
      </c>
      <c r="AA71" s="221" t="s">
        <v>58</v>
      </c>
      <c r="AB71" s="206" t="s">
        <v>830</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935</v>
      </c>
      <c r="T72" s="217">
        <v>122</v>
      </c>
      <c r="U72" s="218" t="s">
        <v>935</v>
      </c>
      <c r="V72" s="219" t="s">
        <v>59</v>
      </c>
      <c r="W72" s="220"/>
      <c r="X72" s="221">
        <v>200</v>
      </c>
      <c r="Y72" s="222"/>
      <c r="Z72" s="222" t="s">
        <v>57</v>
      </c>
      <c r="AA72" s="221" t="s">
        <v>58</v>
      </c>
      <c r="AB72" s="206" t="s">
        <v>1136</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1151</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935</v>
      </c>
      <c r="T73" s="217">
        <v>2</v>
      </c>
      <c r="U73" s="218" t="s">
        <v>935</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1151</v>
      </c>
      <c r="G74" s="205" t="str">
        <f>IF(AND(A74&lt;&gt;"",ISNUMBER(A74)),VLOOKUP(A74,Studies!A:BR,13,FALSE),"")</f>
        <v>IV</v>
      </c>
      <c r="H74" s="138" t="str">
        <f t="shared" si="2"/>
        <v>PO</v>
      </c>
      <c r="I74" s="205" t="str">
        <f>IF(AND(A74&lt;&gt;"",ISNUMBER(A74)),VLOOKUP(A74,Studies!A:BR,6,FALSE),"")</f>
        <v>Plasma</v>
      </c>
      <c r="J74" s="211">
        <f>1/0.49</f>
        <v>2.0408163265306123</v>
      </c>
      <c r="K74" s="211" t="s">
        <v>1099</v>
      </c>
      <c r="L74" s="212"/>
      <c r="M74" s="212"/>
      <c r="N74" s="213"/>
      <c r="O74" s="213"/>
      <c r="P74" s="214"/>
      <c r="Q74" s="214"/>
      <c r="R74" s="215">
        <v>0</v>
      </c>
      <c r="S74" s="216" t="s">
        <v>935</v>
      </c>
      <c r="T74" s="217">
        <v>74</v>
      </c>
      <c r="U74" s="218" t="s">
        <v>935</v>
      </c>
      <c r="V74" s="219" t="s">
        <v>59</v>
      </c>
      <c r="W74" s="220"/>
      <c r="X74" s="221" t="s">
        <v>873</v>
      </c>
      <c r="Y74" s="222"/>
      <c r="Z74" s="222" t="s">
        <v>57</v>
      </c>
      <c r="AA74" s="221" t="s">
        <v>58</v>
      </c>
      <c r="AB74" s="206" t="s">
        <v>2948</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1151</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935</v>
      </c>
      <c r="T75" s="217">
        <v>122</v>
      </c>
      <c r="U75" s="218" t="s">
        <v>935</v>
      </c>
      <c r="V75" s="219" t="s">
        <v>59</v>
      </c>
      <c r="W75" s="220"/>
      <c r="X75" s="221" t="s">
        <v>873</v>
      </c>
      <c r="Y75" s="222"/>
      <c r="Z75" s="222" t="s">
        <v>57</v>
      </c>
      <c r="AA75" s="221" t="s">
        <v>58</v>
      </c>
      <c r="AB75" s="206" t="s">
        <v>2949</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935</v>
      </c>
      <c r="T76" s="184">
        <v>106</v>
      </c>
      <c r="U76" s="185" t="s">
        <v>935</v>
      </c>
      <c r="V76" s="219" t="s">
        <v>59</v>
      </c>
      <c r="W76" s="220"/>
      <c r="X76" s="206">
        <v>600</v>
      </c>
      <c r="Y76" s="207"/>
      <c r="Z76" s="207" t="s">
        <v>57</v>
      </c>
      <c r="AA76" s="206" t="s">
        <v>58</v>
      </c>
      <c r="AB76" s="176" t="s">
        <v>182</v>
      </c>
      <c r="AC76" s="206" t="s">
        <v>59</v>
      </c>
      <c r="AD76" s="206" t="s">
        <v>91</v>
      </c>
      <c r="AE76" s="208" t="s">
        <v>1137</v>
      </c>
      <c r="AF76" s="208"/>
      <c r="AG76" s="209"/>
      <c r="AH76" s="208"/>
      <c r="AI76" s="208" t="s">
        <v>1144</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935</v>
      </c>
      <c r="T77" s="184">
        <v>107</v>
      </c>
      <c r="U77" s="185" t="s">
        <v>935</v>
      </c>
      <c r="V77" s="219" t="s">
        <v>59</v>
      </c>
      <c r="W77" s="220"/>
      <c r="X77" s="206">
        <v>600</v>
      </c>
      <c r="Y77" s="207"/>
      <c r="Z77" s="207" t="s">
        <v>57</v>
      </c>
      <c r="AA77" s="206" t="s">
        <v>58</v>
      </c>
      <c r="AB77" s="176" t="s">
        <v>182</v>
      </c>
      <c r="AC77" s="206" t="s">
        <v>59</v>
      </c>
      <c r="AD77" s="206" t="s">
        <v>91</v>
      </c>
      <c r="AE77" s="208" t="s">
        <v>1137</v>
      </c>
      <c r="AF77" s="208"/>
      <c r="AG77" s="209"/>
      <c r="AH77" s="208"/>
      <c r="AI77" s="208" t="s">
        <v>1144</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935</v>
      </c>
      <c r="T78" s="184">
        <v>648</v>
      </c>
      <c r="U78" s="185">
        <v>816</v>
      </c>
      <c r="V78" s="186" t="s">
        <v>59</v>
      </c>
      <c r="W78" s="181" t="s">
        <v>1106</v>
      </c>
      <c r="X78" s="176">
        <v>600</v>
      </c>
      <c r="Y78" s="180"/>
      <c r="Z78" s="180" t="s">
        <v>57</v>
      </c>
      <c r="AA78" s="176" t="s">
        <v>58</v>
      </c>
      <c r="AB78" s="176" t="s">
        <v>1107</v>
      </c>
      <c r="AC78" s="176" t="s">
        <v>59</v>
      </c>
      <c r="AD78" s="176"/>
      <c r="AE78" s="177"/>
      <c r="AF78" s="177" t="s">
        <v>1108</v>
      </c>
      <c r="AG78" s="178"/>
      <c r="AH78" s="177"/>
      <c r="AI78" s="177" t="s">
        <v>1109</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935</v>
      </c>
      <c r="T79" s="184">
        <v>816</v>
      </c>
      <c r="U79" s="185">
        <v>984</v>
      </c>
      <c r="V79" s="186" t="s">
        <v>59</v>
      </c>
      <c r="W79" s="181" t="s">
        <v>1106</v>
      </c>
      <c r="X79" s="176">
        <v>600</v>
      </c>
      <c r="Y79" s="180"/>
      <c r="Z79" s="180" t="s">
        <v>57</v>
      </c>
      <c r="AA79" s="176" t="s">
        <v>58</v>
      </c>
      <c r="AB79" s="176" t="s">
        <v>1107</v>
      </c>
      <c r="AC79" s="176" t="s">
        <v>59</v>
      </c>
      <c r="AD79" s="176"/>
      <c r="AE79" s="177"/>
      <c r="AF79" s="177" t="s">
        <v>1108</v>
      </c>
      <c r="AG79" s="178"/>
      <c r="AH79" s="177"/>
      <c r="AI79" s="177" t="s">
        <v>1109</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935</v>
      </c>
      <c r="T80" s="184">
        <v>984</v>
      </c>
      <c r="U80" s="185">
        <v>1320</v>
      </c>
      <c r="V80" s="186" t="s">
        <v>59</v>
      </c>
      <c r="W80" s="181" t="s">
        <v>1106</v>
      </c>
      <c r="X80" s="176">
        <v>600</v>
      </c>
      <c r="Y80" s="180"/>
      <c r="Z80" s="180" t="s">
        <v>57</v>
      </c>
      <c r="AA80" s="176" t="s">
        <v>58</v>
      </c>
      <c r="AB80" s="176" t="s">
        <v>1107</v>
      </c>
      <c r="AC80" s="176" t="s">
        <v>59</v>
      </c>
      <c r="AD80" s="176"/>
      <c r="AE80" s="177"/>
      <c r="AF80" s="177" t="s">
        <v>1108</v>
      </c>
      <c r="AG80" s="178"/>
      <c r="AH80" s="177"/>
      <c r="AI80" s="177" t="s">
        <v>1109</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935</v>
      </c>
      <c r="T81" s="184">
        <v>649</v>
      </c>
      <c r="U81" s="185">
        <v>817</v>
      </c>
      <c r="V81" s="186" t="s">
        <v>59</v>
      </c>
      <c r="W81" s="181" t="s">
        <v>1106</v>
      </c>
      <c r="X81" s="176">
        <v>600</v>
      </c>
      <c r="Y81" s="180"/>
      <c r="Z81" s="180" t="s">
        <v>57</v>
      </c>
      <c r="AA81" s="176" t="s">
        <v>58</v>
      </c>
      <c r="AB81" s="176" t="s">
        <v>1107</v>
      </c>
      <c r="AC81" s="176" t="s">
        <v>59</v>
      </c>
      <c r="AD81" s="176"/>
      <c r="AE81" s="177"/>
      <c r="AF81" s="177" t="s">
        <v>1108</v>
      </c>
      <c r="AG81" s="178"/>
      <c r="AH81" s="177"/>
      <c r="AI81" s="177" t="s">
        <v>1109</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935</v>
      </c>
      <c r="T82" s="184">
        <v>817</v>
      </c>
      <c r="U82" s="185">
        <v>985</v>
      </c>
      <c r="V82" s="186" t="s">
        <v>59</v>
      </c>
      <c r="W82" s="181" t="s">
        <v>1106</v>
      </c>
      <c r="X82" s="176">
        <v>600</v>
      </c>
      <c r="Y82" s="180"/>
      <c r="Z82" s="180" t="s">
        <v>57</v>
      </c>
      <c r="AA82" s="176" t="s">
        <v>58</v>
      </c>
      <c r="AB82" s="176" t="s">
        <v>1107</v>
      </c>
      <c r="AC82" s="176" t="s">
        <v>59</v>
      </c>
      <c r="AD82" s="176"/>
      <c r="AE82" s="177"/>
      <c r="AF82" s="177" t="s">
        <v>1108</v>
      </c>
      <c r="AG82" s="178"/>
      <c r="AH82" s="177"/>
      <c r="AI82" s="177" t="s">
        <v>1109</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935</v>
      </c>
      <c r="T83" s="184">
        <v>985</v>
      </c>
      <c r="U83" s="185">
        <v>1321</v>
      </c>
      <c r="V83" s="186" t="s">
        <v>59</v>
      </c>
      <c r="W83" s="181" t="s">
        <v>1106</v>
      </c>
      <c r="X83" s="176">
        <v>600</v>
      </c>
      <c r="Y83" s="180"/>
      <c r="Z83" s="180" t="s">
        <v>57</v>
      </c>
      <c r="AA83" s="176" t="s">
        <v>58</v>
      </c>
      <c r="AB83" s="176" t="s">
        <v>1107</v>
      </c>
      <c r="AC83" s="176" t="s">
        <v>59</v>
      </c>
      <c r="AD83" s="176"/>
      <c r="AE83" s="177"/>
      <c r="AF83" s="177" t="s">
        <v>1108</v>
      </c>
      <c r="AG83" s="178"/>
      <c r="AH83" s="177"/>
      <c r="AI83" s="177" t="s">
        <v>1109</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2"/>
        <v>PO</v>
      </c>
      <c r="I84" s="205" t="str">
        <f>IF(AND(A84&lt;&gt;"",ISNUMBER(A84)),VLOOKUP(A84,Studies!A:BR,6,FALSE),"")</f>
        <v>Plasma</v>
      </c>
      <c r="J84" s="187">
        <v>9.85</v>
      </c>
      <c r="K84" s="187" t="s">
        <v>1000</v>
      </c>
      <c r="L84" s="201" t="s">
        <v>1155</v>
      </c>
      <c r="M84" s="201" t="s">
        <v>1156</v>
      </c>
      <c r="N84" s="213">
        <v>3.56</v>
      </c>
      <c r="O84" s="213" t="s">
        <v>1000</v>
      </c>
      <c r="P84" s="202" t="s">
        <v>1157</v>
      </c>
      <c r="Q84" s="202" t="s">
        <v>1156</v>
      </c>
      <c r="R84" s="182">
        <v>0</v>
      </c>
      <c r="S84" s="183" t="s">
        <v>935</v>
      </c>
      <c r="T84" s="184">
        <v>37</v>
      </c>
      <c r="U84" s="185" t="s">
        <v>935</v>
      </c>
      <c r="V84" s="219" t="s">
        <v>59</v>
      </c>
      <c r="W84" s="220"/>
      <c r="X84" s="206" t="s">
        <v>873</v>
      </c>
      <c r="Y84" s="207"/>
      <c r="Z84" s="176" t="s">
        <v>57</v>
      </c>
      <c r="AA84" s="176" t="s">
        <v>58</v>
      </c>
      <c r="AB84" s="176" t="s">
        <v>2951</v>
      </c>
      <c r="AC84" s="176" t="s">
        <v>59</v>
      </c>
      <c r="AD84" s="176" t="s">
        <v>91</v>
      </c>
      <c r="AE84" s="177" t="s">
        <v>875</v>
      </c>
      <c r="AF84" s="177" t="s">
        <v>2943</v>
      </c>
      <c r="AG84" s="209"/>
      <c r="AH84" s="208">
        <v>150</v>
      </c>
      <c r="AI84" s="177" t="s">
        <v>877</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2"/>
        <v>PO</v>
      </c>
      <c r="I85" s="205" t="str">
        <f>IF(AND(A85&lt;&gt;"",ISNUMBER(A85)),VLOOKUP(A85,Studies!A:BR,6,FALSE),"")</f>
        <v>Plasma</v>
      </c>
      <c r="J85" s="187">
        <v>3.61</v>
      </c>
      <c r="K85" s="187" t="s">
        <v>1000</v>
      </c>
      <c r="L85" s="201" t="s">
        <v>1158</v>
      </c>
      <c r="M85" s="201" t="s">
        <v>1156</v>
      </c>
      <c r="N85" s="213"/>
      <c r="O85" s="213"/>
      <c r="P85" s="202"/>
      <c r="Q85" s="202"/>
      <c r="R85" s="182">
        <v>0</v>
      </c>
      <c r="S85" s="183" t="s">
        <v>935</v>
      </c>
      <c r="T85" s="184">
        <v>37</v>
      </c>
      <c r="U85" s="185" t="s">
        <v>935</v>
      </c>
      <c r="V85" s="219" t="s">
        <v>59</v>
      </c>
      <c r="W85" s="220"/>
      <c r="X85" s="206" t="s">
        <v>873</v>
      </c>
      <c r="Y85" s="207"/>
      <c r="Z85" s="176" t="s">
        <v>57</v>
      </c>
      <c r="AA85" s="176" t="s">
        <v>58</v>
      </c>
      <c r="AB85" s="176" t="s">
        <v>2951</v>
      </c>
      <c r="AC85" s="176" t="s">
        <v>59</v>
      </c>
      <c r="AD85" s="176" t="s">
        <v>91</v>
      </c>
      <c r="AE85" s="177" t="s">
        <v>875</v>
      </c>
      <c r="AF85" s="177" t="s">
        <v>2943</v>
      </c>
      <c r="AG85" s="209"/>
      <c r="AH85" s="208">
        <v>150</v>
      </c>
      <c r="AI85" s="177" t="s">
        <v>877</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1000</v>
      </c>
      <c r="L86" s="201" t="s">
        <v>2884</v>
      </c>
      <c r="M86" s="201" t="s">
        <v>971</v>
      </c>
      <c r="N86" s="213"/>
      <c r="O86" s="213"/>
      <c r="P86" s="202"/>
      <c r="Q86" s="202"/>
      <c r="R86" s="182">
        <v>0</v>
      </c>
      <c r="S86" s="183" t="s">
        <v>935</v>
      </c>
      <c r="T86" s="184">
        <v>96</v>
      </c>
      <c r="U86" s="185" t="s">
        <v>935</v>
      </c>
      <c r="V86" s="219" t="s">
        <v>59</v>
      </c>
      <c r="W86" s="220" t="s">
        <v>1378</v>
      </c>
      <c r="X86" s="206">
        <v>500</v>
      </c>
      <c r="Y86" s="207"/>
      <c r="Z86" s="180" t="s">
        <v>57</v>
      </c>
      <c r="AA86" s="176" t="s">
        <v>58</v>
      </c>
      <c r="AB86" s="136" t="s">
        <v>1379</v>
      </c>
      <c r="AC86" s="176" t="s">
        <v>59</v>
      </c>
      <c r="AD86" s="176" t="s">
        <v>1380</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1099</v>
      </c>
      <c r="L87" s="201"/>
      <c r="M87" s="201"/>
      <c r="N87" s="193"/>
      <c r="O87" s="193"/>
      <c r="P87" s="202"/>
      <c r="Q87" s="202"/>
      <c r="R87" s="182">
        <v>0</v>
      </c>
      <c r="S87" s="183" t="s">
        <v>935</v>
      </c>
      <c r="T87" s="184">
        <f>144-12</f>
        <v>132</v>
      </c>
      <c r="U87" s="185" t="s">
        <v>935</v>
      </c>
      <c r="V87" s="186" t="s">
        <v>59</v>
      </c>
      <c r="W87" s="181"/>
      <c r="X87" s="176">
        <v>600</v>
      </c>
      <c r="Y87" s="180"/>
      <c r="Z87" s="180" t="s">
        <v>57</v>
      </c>
      <c r="AA87" s="176" t="s">
        <v>58</v>
      </c>
      <c r="AB87" s="176" t="s">
        <v>1145</v>
      </c>
      <c r="AC87" s="176" t="s">
        <v>59</v>
      </c>
      <c r="AD87" s="176" t="s">
        <v>91</v>
      </c>
      <c r="AE87" s="177" t="s">
        <v>1141</v>
      </c>
      <c r="AF87" s="177" t="s">
        <v>1146</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935</v>
      </c>
      <c r="T88" s="184">
        <v>4</v>
      </c>
      <c r="U88" s="185" t="s">
        <v>935</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1164</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935</v>
      </c>
      <c r="T89" s="184">
        <v>4</v>
      </c>
      <c r="U89" s="185" t="s">
        <v>935</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1164</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935</v>
      </c>
      <c r="T90" s="184">
        <v>4</v>
      </c>
      <c r="U90" s="185" t="s">
        <v>935</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1164</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2"/>
        <v>PO</v>
      </c>
      <c r="I91" s="205" t="str">
        <f>IF(AND(A91&lt;&gt;"",ISNUMBER(A91)),VLOOKUP(A91,Studies!A:BR,6,FALSE),"")</f>
        <v>Plasma</v>
      </c>
      <c r="J91" s="187">
        <f>0.27/0.17</f>
        <v>1.588235294117647</v>
      </c>
      <c r="K91" s="187" t="s">
        <v>1099</v>
      </c>
      <c r="L91" s="201"/>
      <c r="M91" s="201"/>
      <c r="N91" s="213"/>
      <c r="O91" s="213"/>
      <c r="P91" s="202"/>
      <c r="Q91" s="202"/>
      <c r="R91" s="182">
        <v>0</v>
      </c>
      <c r="S91" s="183" t="s">
        <v>935</v>
      </c>
      <c r="T91" s="184">
        <v>47</v>
      </c>
      <c r="U91" s="185" t="s">
        <v>935</v>
      </c>
      <c r="V91" s="219" t="s">
        <v>59</v>
      </c>
      <c r="W91" s="220"/>
      <c r="X91" s="206">
        <v>200</v>
      </c>
      <c r="Y91" s="207"/>
      <c r="Z91" s="180" t="s">
        <v>57</v>
      </c>
      <c r="AA91" s="176" t="s">
        <v>58</v>
      </c>
      <c r="AB91" s="176" t="s">
        <v>1165</v>
      </c>
      <c r="AC91" s="176" t="s">
        <v>59</v>
      </c>
      <c r="AD91" s="176" t="s">
        <v>91</v>
      </c>
      <c r="AE91" s="177" t="s">
        <v>834</v>
      </c>
      <c r="AF91" s="177" t="s">
        <v>1166</v>
      </c>
      <c r="AG91" s="209"/>
      <c r="AH91" s="208"/>
      <c r="AI91" s="177" t="s">
        <v>1167</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2"/>
        <v>PO</v>
      </c>
      <c r="I92" s="205" t="str">
        <f>IF(AND(A92&lt;&gt;"",ISNUMBER(A92)),VLOOKUP(A92,Studies!A:BR,6,FALSE),"")</f>
        <v>Plasma</v>
      </c>
      <c r="J92" s="187">
        <f>888.75/248.84</f>
        <v>3.5715720945185661</v>
      </c>
      <c r="K92" s="187" t="s">
        <v>1099</v>
      </c>
      <c r="L92" s="201"/>
      <c r="M92" s="201"/>
      <c r="N92" s="193">
        <f>187.61/76.89</f>
        <v>2.4399791910521524</v>
      </c>
      <c r="O92" s="193" t="s">
        <v>1100</v>
      </c>
      <c r="P92" s="202"/>
      <c r="Q92" s="202"/>
      <c r="R92" s="182">
        <v>0</v>
      </c>
      <c r="S92" s="183" t="s">
        <v>935</v>
      </c>
      <c r="T92" s="184">
        <v>97.5</v>
      </c>
      <c r="U92" s="185" t="s">
        <v>935</v>
      </c>
      <c r="V92" s="186" t="s">
        <v>59</v>
      </c>
      <c r="W92" s="181"/>
      <c r="X92" s="176">
        <v>250</v>
      </c>
      <c r="Y92" s="180"/>
      <c r="Z92" s="180" t="s">
        <v>57</v>
      </c>
      <c r="AA92" s="176" t="s">
        <v>58</v>
      </c>
      <c r="AB92" s="176" t="s">
        <v>1111</v>
      </c>
      <c r="AC92" s="176" t="s">
        <v>59</v>
      </c>
      <c r="AD92" s="176" t="s">
        <v>1112</v>
      </c>
      <c r="AE92" s="177"/>
      <c r="AF92" s="177" t="s">
        <v>1113</v>
      </c>
      <c r="AG92" s="178"/>
      <c r="AH92" s="177"/>
      <c r="AI92" s="177" t="s">
        <v>1114</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1099</v>
      </c>
      <c r="L93" s="201"/>
      <c r="M93" s="201"/>
      <c r="N93" s="193">
        <f>182.29/67.23</f>
        <v>2.7114383459764984</v>
      </c>
      <c r="O93" s="193" t="s">
        <v>1100</v>
      </c>
      <c r="P93" s="202"/>
      <c r="Q93" s="202"/>
      <c r="R93" s="182">
        <v>0</v>
      </c>
      <c r="S93" s="183" t="s">
        <v>935</v>
      </c>
      <c r="T93" s="184">
        <v>97.5</v>
      </c>
      <c r="U93" s="185" t="s">
        <v>935</v>
      </c>
      <c r="V93" s="186" t="s">
        <v>59</v>
      </c>
      <c r="W93" s="181"/>
      <c r="X93" s="176">
        <v>500</v>
      </c>
      <c r="Y93" s="180"/>
      <c r="Z93" s="180" t="s">
        <v>57</v>
      </c>
      <c r="AA93" s="176" t="s">
        <v>58</v>
      </c>
      <c r="AB93" s="176" t="s">
        <v>1115</v>
      </c>
      <c r="AC93" s="176" t="s">
        <v>59</v>
      </c>
      <c r="AD93" s="176" t="s">
        <v>1116</v>
      </c>
      <c r="AE93" s="177"/>
      <c r="AF93" s="177" t="s">
        <v>1117</v>
      </c>
      <c r="AG93" s="178"/>
      <c r="AH93" s="177">
        <v>100</v>
      </c>
      <c r="AI93" s="177" t="s">
        <v>1118</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1405</v>
      </c>
      <c r="G94" s="205" t="str">
        <f>IF(AND(A94&lt;&gt;"",ISNUMBER(A94)),VLOOKUP(A94,Studies!A:BR,13,FALSE),"")</f>
        <v>PO</v>
      </c>
      <c r="H94" s="138" t="s">
        <v>58</v>
      </c>
      <c r="I94" s="205" t="str">
        <f>IF(AND(A94&lt;&gt;"",ISNUMBER(A94)),VLOOKUP(A94,Studies!A:BR,6,FALSE),"")</f>
        <v>Plasma</v>
      </c>
      <c r="J94" s="187">
        <v>1.72</v>
      </c>
      <c r="K94" s="187" t="s">
        <v>1000</v>
      </c>
      <c r="L94" s="201" t="s">
        <v>1494</v>
      </c>
      <c r="M94" s="201" t="s">
        <v>1156</v>
      </c>
      <c r="N94" s="193">
        <v>1.53</v>
      </c>
      <c r="O94" s="193" t="s">
        <v>1000</v>
      </c>
      <c r="P94" s="202" t="s">
        <v>1495</v>
      </c>
      <c r="Q94" s="202" t="s">
        <v>1156</v>
      </c>
      <c r="R94" s="182">
        <v>0</v>
      </c>
      <c r="S94" s="183" t="s">
        <v>935</v>
      </c>
      <c r="T94" s="184">
        <v>144</v>
      </c>
      <c r="U94" s="185" t="s">
        <v>935</v>
      </c>
      <c r="V94" s="186" t="s">
        <v>59</v>
      </c>
      <c r="X94" s="176">
        <v>400</v>
      </c>
      <c r="Y94" s="137"/>
      <c r="Z94" s="137" t="s">
        <v>57</v>
      </c>
      <c r="AA94" s="176" t="s">
        <v>58</v>
      </c>
      <c r="AB94" s="176" t="s">
        <v>1496</v>
      </c>
      <c r="AC94" s="136" t="s">
        <v>59</v>
      </c>
      <c r="AD94" s="176" t="s">
        <v>1497</v>
      </c>
      <c r="AE94" s="174"/>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1405</v>
      </c>
      <c r="G95" s="205" t="str">
        <f>IF(AND(A95&lt;&gt;"",ISNUMBER(A95)),VLOOKUP(A95,Studies!A:BR,13,FALSE),"")</f>
        <v>PO</v>
      </c>
      <c r="H95" s="138" t="s">
        <v>58</v>
      </c>
      <c r="I95" s="205" t="str">
        <f>IF(AND(A95&lt;&gt;"",ISNUMBER(A95)),VLOOKUP(A95,Studies!A:BR,6,FALSE),"")</f>
        <v>Plasma</v>
      </c>
      <c r="J95" s="187">
        <v>1.72</v>
      </c>
      <c r="K95" s="187" t="s">
        <v>1000</v>
      </c>
      <c r="L95" s="201" t="s">
        <v>1724</v>
      </c>
      <c r="M95" s="201" t="s">
        <v>1156</v>
      </c>
      <c r="N95" s="193">
        <v>1.37</v>
      </c>
      <c r="O95" s="193" t="s">
        <v>1000</v>
      </c>
      <c r="P95" s="202" t="s">
        <v>1725</v>
      </c>
      <c r="Q95" s="202" t="s">
        <v>1156</v>
      </c>
      <c r="R95" s="182">
        <v>168</v>
      </c>
      <c r="S95" s="183">
        <v>180</v>
      </c>
      <c r="T95" s="184">
        <v>168</v>
      </c>
      <c r="U95" s="185">
        <v>192</v>
      </c>
      <c r="V95" s="186" t="s">
        <v>59</v>
      </c>
      <c r="X95" s="176">
        <v>400</v>
      </c>
      <c r="Y95" s="137"/>
      <c r="Z95" s="137" t="s">
        <v>57</v>
      </c>
      <c r="AA95" s="176" t="s">
        <v>58</v>
      </c>
      <c r="AB95" s="176" t="s">
        <v>1447</v>
      </c>
      <c r="AC95" s="136" t="s">
        <v>59</v>
      </c>
      <c r="AD95" s="176" t="s">
        <v>1497</v>
      </c>
      <c r="AE95" s="174"/>
      <c r="AG95" s="178"/>
      <c r="AH95" s="178"/>
      <c r="AI95" s="178" t="s">
        <v>149</v>
      </c>
      <c r="AJ95" s="193" t="s">
        <v>1445</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1405</v>
      </c>
      <c r="G96" s="205" t="str">
        <f>IF(AND(A96&lt;&gt;"",ISNUMBER(A96)),VLOOKUP(A96,Studies!A:BR,13,FALSE),"")</f>
        <v>PO</v>
      </c>
      <c r="H96" s="68" t="s">
        <v>58</v>
      </c>
      <c r="I96" s="205" t="str">
        <f>IF(AND(A96&lt;&gt;"",ISNUMBER(A96)),VLOOKUP(A96,Studies!A:BR,6,FALSE),"")</f>
        <v>Plasma</v>
      </c>
      <c r="J96" s="43">
        <v>1.67</v>
      </c>
      <c r="K96" s="187" t="s">
        <v>1000</v>
      </c>
      <c r="L96" s="76" t="s">
        <v>1498</v>
      </c>
      <c r="M96" s="76" t="s">
        <v>1156</v>
      </c>
      <c r="N96" s="52">
        <v>1.1599999999999999</v>
      </c>
      <c r="O96" s="193" t="s">
        <v>1000</v>
      </c>
      <c r="P96" s="84" t="s">
        <v>1499</v>
      </c>
      <c r="Q96" s="84" t="s">
        <v>1156</v>
      </c>
      <c r="R96" s="38">
        <v>0</v>
      </c>
      <c r="S96" s="39" t="s">
        <v>935</v>
      </c>
      <c r="T96" s="40">
        <v>144</v>
      </c>
      <c r="U96" s="41" t="s">
        <v>935</v>
      </c>
      <c r="V96" s="42" t="s">
        <v>59</v>
      </c>
      <c r="X96" s="22">
        <v>400</v>
      </c>
      <c r="Y96" s="137"/>
      <c r="Z96" s="137" t="s">
        <v>57</v>
      </c>
      <c r="AA96" s="176" t="s">
        <v>58</v>
      </c>
      <c r="AB96" s="176" t="s">
        <v>1496</v>
      </c>
      <c r="AC96" s="136" t="s">
        <v>59</v>
      </c>
      <c r="AD96" s="176" t="s">
        <v>1497</v>
      </c>
      <c r="AE96" s="174"/>
      <c r="AG96" s="178"/>
      <c r="AH96" s="178"/>
      <c r="AI96" s="178"/>
      <c r="AJ96" s="52" t="s">
        <v>435</v>
      </c>
      <c r="AM96" s="52" t="s">
        <v>1500</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1405</v>
      </c>
      <c r="G97" s="205" t="str">
        <f>IF(AND(A97&lt;&gt;"",ISNUMBER(A97)),VLOOKUP(A97,Studies!A:BR,13,FALSE),"")</f>
        <v>PO</v>
      </c>
      <c r="H97" s="68" t="s">
        <v>58</v>
      </c>
      <c r="I97" s="205" t="str">
        <f>IF(AND(A97&lt;&gt;"",ISNUMBER(A97)),VLOOKUP(A97,Studies!A:BR,6,FALSE),"")</f>
        <v>Plasma</v>
      </c>
      <c r="J97" s="43">
        <v>1.536</v>
      </c>
      <c r="K97" s="187" t="s">
        <v>1000</v>
      </c>
      <c r="L97" s="76" t="s">
        <v>1501</v>
      </c>
      <c r="M97" s="201" t="s">
        <v>1156</v>
      </c>
      <c r="N97" s="52">
        <v>1.3939999999999999</v>
      </c>
      <c r="O97" s="193" t="s">
        <v>1000</v>
      </c>
      <c r="P97" s="84" t="s">
        <v>1502</v>
      </c>
      <c r="Q97" s="202" t="s">
        <v>1156</v>
      </c>
      <c r="R97" s="38">
        <v>96</v>
      </c>
      <c r="S97" s="39">
        <v>108</v>
      </c>
      <c r="T97" s="40">
        <v>600</v>
      </c>
      <c r="U97" s="41">
        <v>612</v>
      </c>
      <c r="V97" s="42" t="s">
        <v>59</v>
      </c>
      <c r="X97" s="22">
        <v>400</v>
      </c>
      <c r="Y97" s="137"/>
      <c r="Z97" s="137" t="s">
        <v>57</v>
      </c>
      <c r="AA97" s="176" t="s">
        <v>58</v>
      </c>
      <c r="AB97" s="176" t="s">
        <v>1597</v>
      </c>
      <c r="AC97" s="136" t="s">
        <v>59</v>
      </c>
      <c r="AD97" s="176" t="s">
        <v>1112</v>
      </c>
      <c r="AE97" s="177" t="s">
        <v>1503</v>
      </c>
      <c r="AF97" s="177" t="s">
        <v>2944</v>
      </c>
      <c r="AG97" s="178"/>
      <c r="AH97" s="178"/>
      <c r="AI97" s="178"/>
      <c r="AJ97" s="52" t="s">
        <v>435</v>
      </c>
      <c r="AM97" s="52" t="s">
        <v>1504</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1637</v>
      </c>
      <c r="G98" s="205" t="str">
        <f>IF(AND(A98&lt;&gt;"",ISNUMBER(A98)),VLOOKUP(A98,Studies!A:BR,13,FALSE),"")</f>
        <v>PO</v>
      </c>
      <c r="H98" s="138" t="s">
        <v>58</v>
      </c>
      <c r="I98" s="205" t="str">
        <f>IF(AND(A98&lt;&gt;"",ISNUMBER(A98)),VLOOKUP(A98,Studies!A:BR,6,FALSE),"")</f>
        <v>Plasma</v>
      </c>
      <c r="J98" s="43">
        <v>1.51</v>
      </c>
      <c r="K98" s="187" t="s">
        <v>1000</v>
      </c>
      <c r="L98" s="76" t="s">
        <v>1639</v>
      </c>
      <c r="M98" s="201" t="s">
        <v>1156</v>
      </c>
      <c r="N98" s="52">
        <v>1.1299999999999999</v>
      </c>
      <c r="O98" s="193" t="s">
        <v>1000</v>
      </c>
      <c r="P98" s="84" t="s">
        <v>1641</v>
      </c>
      <c r="Q98" s="202" t="s">
        <v>1156</v>
      </c>
      <c r="R98" s="38">
        <v>0</v>
      </c>
      <c r="S98" s="39" t="s">
        <v>935</v>
      </c>
      <c r="T98" s="40">
        <v>24</v>
      </c>
      <c r="U98" s="41" t="s">
        <v>935</v>
      </c>
      <c r="V98" s="42" t="s">
        <v>59</v>
      </c>
      <c r="X98" s="22" t="s">
        <v>1726</v>
      </c>
      <c r="Y98" s="137"/>
      <c r="Z98" s="137" t="s">
        <v>57</v>
      </c>
      <c r="AA98" s="176" t="s">
        <v>58</v>
      </c>
      <c r="AB98" s="176" t="s">
        <v>1645</v>
      </c>
      <c r="AC98" s="136" t="s">
        <v>59</v>
      </c>
      <c r="AD98" s="176" t="s">
        <v>1642</v>
      </c>
      <c r="AE98" s="174"/>
      <c r="AG98" s="178"/>
      <c r="AH98" s="178"/>
      <c r="AI98" s="178"/>
      <c r="AJ98" s="52" t="s">
        <v>1643</v>
      </c>
      <c r="AM98" s="52" t="s">
        <v>1644</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1000</v>
      </c>
      <c r="L99" s="76" t="s">
        <v>1638</v>
      </c>
      <c r="M99" s="201" t="s">
        <v>1156</v>
      </c>
      <c r="N99" s="52">
        <v>0.93</v>
      </c>
      <c r="O99" s="193" t="s">
        <v>1000</v>
      </c>
      <c r="P99" s="84" t="s">
        <v>1640</v>
      </c>
      <c r="Q99" s="202" t="s">
        <v>1156</v>
      </c>
      <c r="R99" s="38">
        <v>0</v>
      </c>
      <c r="S99" s="39" t="s">
        <v>935</v>
      </c>
      <c r="T99" s="40">
        <v>120</v>
      </c>
      <c r="U99" s="41" t="s">
        <v>935</v>
      </c>
      <c r="V99" s="42" t="s">
        <v>59</v>
      </c>
      <c r="X99" s="22">
        <v>600</v>
      </c>
      <c r="Y99" s="137"/>
      <c r="Z99" s="137" t="s">
        <v>57</v>
      </c>
      <c r="AA99" s="176" t="s">
        <v>58</v>
      </c>
      <c r="AB99" s="176" t="s">
        <v>1477</v>
      </c>
      <c r="AC99" s="136" t="s">
        <v>59</v>
      </c>
      <c r="AD99" s="176" t="s">
        <v>166</v>
      </c>
      <c r="AE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1099</v>
      </c>
      <c r="N100" s="52">
        <v>1.464286</v>
      </c>
      <c r="O100" s="52" t="s">
        <v>1099</v>
      </c>
      <c r="R100" s="38">
        <v>0</v>
      </c>
      <c r="S100" s="39" t="s">
        <v>935</v>
      </c>
      <c r="T100" s="40">
        <v>64</v>
      </c>
      <c r="U100" s="41" t="s">
        <v>935</v>
      </c>
      <c r="V100" s="42" t="s">
        <v>59</v>
      </c>
      <c r="W100" s="181" t="s">
        <v>2952</v>
      </c>
      <c r="X100" s="22">
        <v>333</v>
      </c>
      <c r="Y100" s="180"/>
      <c r="Z100" s="180" t="s">
        <v>57</v>
      </c>
      <c r="AA100" s="176" t="s">
        <v>58</v>
      </c>
      <c r="AB100" s="176" t="s">
        <v>2175</v>
      </c>
      <c r="AC100" s="176" t="s">
        <v>59</v>
      </c>
      <c r="AD100" s="176" t="s">
        <v>1116</v>
      </c>
      <c r="AE100" s="177"/>
      <c r="AF100" s="177" t="s">
        <v>2171</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2138</v>
      </c>
      <c r="G101" s="205" t="str">
        <f>IF(AND(A101&lt;&gt;"",ISNUMBER(A101)),VLOOKUP(A101,Studies!A:BR,13,FALSE),"")</f>
        <v>IV</v>
      </c>
      <c r="H101" s="68" t="s">
        <v>58</v>
      </c>
      <c r="I101" s="205" t="str">
        <f>IF(AND(A101&lt;&gt;"",ISNUMBER(A101)),VLOOKUP(A101,Studies!A:BR,6,FALSE),"")</f>
        <v>Plasma</v>
      </c>
      <c r="J101" s="43">
        <v>1</v>
      </c>
      <c r="K101" s="43" t="s">
        <v>2139</v>
      </c>
      <c r="L101" s="76" t="s">
        <v>2140</v>
      </c>
      <c r="M101" s="76" t="s">
        <v>1156</v>
      </c>
      <c r="R101" s="38">
        <v>0</v>
      </c>
      <c r="S101" s="39" t="s">
        <v>935</v>
      </c>
      <c r="T101" s="40">
        <v>0</v>
      </c>
      <c r="U101" s="41" t="s">
        <v>935</v>
      </c>
      <c r="V101" s="42" t="s">
        <v>59</v>
      </c>
      <c r="X101" s="22">
        <v>8</v>
      </c>
      <c r="Y101" s="137"/>
      <c r="Z101" s="137" t="s">
        <v>2141</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205" t="str">
        <f>IF(AND(A102&lt;&gt;"",ISNUMBER(A102)),VLOOKUP(A102,Studies!A:BR,6,FALSE),"")</f>
        <v>Plasma</v>
      </c>
      <c r="J102" s="43">
        <v>2.4</v>
      </c>
      <c r="K102" s="43" t="s">
        <v>2139</v>
      </c>
      <c r="R102" s="38">
        <v>0</v>
      </c>
      <c r="S102" s="39" t="s">
        <v>935</v>
      </c>
      <c r="T102" s="40">
        <v>60</v>
      </c>
      <c r="U102" s="41" t="s">
        <v>935</v>
      </c>
      <c r="V102" s="42" t="s">
        <v>59</v>
      </c>
      <c r="W102" s="181" t="s">
        <v>2142</v>
      </c>
      <c r="X102" s="22">
        <v>400</v>
      </c>
      <c r="Z102" s="28" t="s">
        <v>57</v>
      </c>
      <c r="AA102" s="22" t="s">
        <v>58</v>
      </c>
      <c r="AB102" s="22" t="s">
        <v>830</v>
      </c>
      <c r="AC102" s="22" t="s">
        <v>59</v>
      </c>
      <c r="AD102" s="176" t="s">
        <v>1497</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2139</v>
      </c>
      <c r="L103" s="76" t="s">
        <v>2143</v>
      </c>
      <c r="M103" s="76" t="s">
        <v>1156</v>
      </c>
      <c r="R103" s="38">
        <v>0</v>
      </c>
      <c r="S103" s="39">
        <v>24</v>
      </c>
      <c r="T103" s="40">
        <v>108</v>
      </c>
      <c r="U103" s="41">
        <v>132</v>
      </c>
      <c r="V103" s="42" t="s">
        <v>59</v>
      </c>
      <c r="X103" s="22">
        <v>600</v>
      </c>
      <c r="Z103" s="28" t="s">
        <v>57</v>
      </c>
      <c r="AA103" s="22" t="s">
        <v>58</v>
      </c>
      <c r="AB103" s="22" t="s">
        <v>1136</v>
      </c>
      <c r="AC103" s="22" t="s">
        <v>59</v>
      </c>
      <c r="AD103" s="176" t="s">
        <v>1497</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2138</v>
      </c>
      <c r="G104" s="205" t="str">
        <f>IF(AND(A104&lt;&gt;"",ISNUMBER(A104)),VLOOKUP(A104,Studies!A:BR,13,FALSE),"")</f>
        <v>IV</v>
      </c>
      <c r="H104" s="68" t="s">
        <v>58</v>
      </c>
      <c r="I104" s="205" t="str">
        <f>IF(AND(A104&lt;&gt;"",ISNUMBER(A104)),VLOOKUP(A104,Studies!A:BR,6,FALSE),"")</f>
        <v>Plasma</v>
      </c>
      <c r="J104" s="43">
        <v>1.2</v>
      </c>
      <c r="K104" s="43" t="s">
        <v>2139</v>
      </c>
      <c r="L104" s="76" t="s">
        <v>2144</v>
      </c>
      <c r="M104" s="76" t="s">
        <v>1156</v>
      </c>
      <c r="R104" s="38">
        <v>0</v>
      </c>
      <c r="S104" s="39" t="s">
        <v>935</v>
      </c>
      <c r="T104" s="40">
        <v>24</v>
      </c>
      <c r="U104" s="41" t="s">
        <v>935</v>
      </c>
      <c r="V104" s="42" t="s">
        <v>59</v>
      </c>
      <c r="X104" s="22">
        <v>8</v>
      </c>
      <c r="Z104" s="28" t="s">
        <v>2141</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205" t="str">
        <f>IF(AND(A105&lt;&gt;"",ISNUMBER(A105)),VLOOKUP(A105,Studies!A:BR,6,FALSE),"")</f>
        <v>Plasma</v>
      </c>
      <c r="J105" s="43">
        <v>2.5</v>
      </c>
      <c r="K105" s="43" t="s">
        <v>2139</v>
      </c>
      <c r="R105" s="38">
        <v>0</v>
      </c>
      <c r="S105" s="39" t="s">
        <v>935</v>
      </c>
      <c r="T105" s="40">
        <v>84</v>
      </c>
      <c r="U105" s="41" t="s">
        <v>935</v>
      </c>
      <c r="V105" s="42" t="s">
        <v>59</v>
      </c>
      <c r="W105" s="181" t="s">
        <v>2142</v>
      </c>
      <c r="X105" s="22">
        <v>400</v>
      </c>
      <c r="Z105" s="28" t="s">
        <v>57</v>
      </c>
      <c r="AA105" s="22" t="s">
        <v>58</v>
      </c>
      <c r="AB105" s="22" t="s">
        <v>830</v>
      </c>
      <c r="AC105" s="22" t="s">
        <v>59</v>
      </c>
      <c r="AD105" s="176" t="s">
        <v>1497</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2139</v>
      </c>
      <c r="L106" s="76" t="s">
        <v>2145</v>
      </c>
      <c r="M106" s="76" t="s">
        <v>1156</v>
      </c>
      <c r="R106" s="38">
        <v>24</v>
      </c>
      <c r="S106" s="39" t="s">
        <v>935</v>
      </c>
      <c r="T106" s="40">
        <v>132</v>
      </c>
      <c r="U106" s="41" t="s">
        <v>935</v>
      </c>
      <c r="V106" s="42" t="s">
        <v>59</v>
      </c>
      <c r="X106" s="22">
        <v>600</v>
      </c>
      <c r="Z106" s="28" t="s">
        <v>57</v>
      </c>
      <c r="AA106" s="22" t="s">
        <v>58</v>
      </c>
      <c r="AB106" s="22" t="s">
        <v>1136</v>
      </c>
      <c r="AC106" s="22" t="s">
        <v>59</v>
      </c>
      <c r="AD106" s="176" t="s">
        <v>1497</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2138</v>
      </c>
      <c r="G107" s="205" t="str">
        <f>IF(AND(A107&lt;&gt;"",ISNUMBER(A107)),VLOOKUP(A107,Studies!A:BR,13,FALSE),"")</f>
        <v>PO</v>
      </c>
      <c r="H107" s="68" t="s">
        <v>58</v>
      </c>
      <c r="I107" s="205" t="str">
        <f>IF(AND(A107&lt;&gt;"",ISNUMBER(A107)),VLOOKUP(A107,Studies!A:BR,6,FALSE),"")</f>
        <v>Plasma</v>
      </c>
      <c r="J107" s="43">
        <v>1.7</v>
      </c>
      <c r="K107" s="43" t="s">
        <v>2139</v>
      </c>
      <c r="L107" s="76" t="s">
        <v>2146</v>
      </c>
      <c r="M107" s="76" t="s">
        <v>1156</v>
      </c>
      <c r="R107" s="38">
        <v>0</v>
      </c>
      <c r="S107" s="39" t="s">
        <v>935</v>
      </c>
      <c r="T107" s="40">
        <v>0</v>
      </c>
      <c r="U107" s="41" t="s">
        <v>935</v>
      </c>
      <c r="V107" s="42" t="s">
        <v>59</v>
      </c>
      <c r="X107" s="22">
        <v>8</v>
      </c>
      <c r="Z107" s="28" t="s">
        <v>2141</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205" t="str">
        <f>IF(AND(A108&lt;&gt;"",ISNUMBER(A108)),VLOOKUP(A108,Studies!A:BR,6,FALSE),"")</f>
        <v>Plasma</v>
      </c>
      <c r="J108" s="43">
        <v>2.2999999999999998</v>
      </c>
      <c r="K108" s="43" t="s">
        <v>2139</v>
      </c>
      <c r="R108" s="38">
        <v>0</v>
      </c>
      <c r="S108" s="39" t="s">
        <v>935</v>
      </c>
      <c r="T108" s="40">
        <v>63</v>
      </c>
      <c r="U108" s="41" t="s">
        <v>935</v>
      </c>
      <c r="V108" s="42" t="s">
        <v>59</v>
      </c>
      <c r="W108" s="181" t="s">
        <v>2142</v>
      </c>
      <c r="X108" s="22">
        <v>400</v>
      </c>
      <c r="Z108" s="28" t="s">
        <v>57</v>
      </c>
      <c r="AA108" s="22" t="s">
        <v>58</v>
      </c>
      <c r="AB108" s="22" t="s">
        <v>830</v>
      </c>
      <c r="AC108" s="22" t="s">
        <v>59</v>
      </c>
      <c r="AD108" s="176" t="s">
        <v>1497</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2139</v>
      </c>
      <c r="L109" s="76" t="s">
        <v>2147</v>
      </c>
      <c r="M109" s="76" t="s">
        <v>1156</v>
      </c>
      <c r="R109" s="38">
        <v>0</v>
      </c>
      <c r="S109" s="39">
        <v>21</v>
      </c>
      <c r="T109" s="40">
        <v>111</v>
      </c>
      <c r="U109" s="41">
        <v>132</v>
      </c>
      <c r="V109" s="42" t="s">
        <v>59</v>
      </c>
      <c r="X109" s="22">
        <v>600</v>
      </c>
      <c r="Z109" s="28" t="s">
        <v>57</v>
      </c>
      <c r="AA109" s="22" t="s">
        <v>58</v>
      </c>
      <c r="AB109" s="22" t="s">
        <v>1136</v>
      </c>
      <c r="AC109" s="22" t="s">
        <v>59</v>
      </c>
      <c r="AD109" s="176" t="s">
        <v>1497</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2138</v>
      </c>
      <c r="G110" s="205" t="str">
        <f>IF(AND(A110&lt;&gt;"",ISNUMBER(A110)),VLOOKUP(A110,Studies!A:BR,13,FALSE),"")</f>
        <v>PO</v>
      </c>
      <c r="H110" s="68" t="s">
        <v>58</v>
      </c>
      <c r="I110" s="205" t="str">
        <f>IF(AND(A110&lt;&gt;"",ISNUMBER(A110)),VLOOKUP(A110,Studies!A:BR,6,FALSE),"")</f>
        <v>Plasma</v>
      </c>
      <c r="J110" s="43">
        <v>2.2000000000000002</v>
      </c>
      <c r="K110" s="43" t="s">
        <v>2139</v>
      </c>
      <c r="L110" s="76" t="s">
        <v>2148</v>
      </c>
      <c r="M110" s="76" t="s">
        <v>1156</v>
      </c>
      <c r="R110" s="38">
        <v>0</v>
      </c>
      <c r="S110" s="39" t="s">
        <v>935</v>
      </c>
      <c r="T110" s="40">
        <v>21</v>
      </c>
      <c r="U110" s="41" t="s">
        <v>935</v>
      </c>
      <c r="V110" s="42" t="s">
        <v>59</v>
      </c>
      <c r="X110" s="22">
        <v>8</v>
      </c>
      <c r="Z110" s="28" t="s">
        <v>2141</v>
      </c>
      <c r="AA110" s="22" t="s">
        <v>58</v>
      </c>
      <c r="AB110" s="22">
        <v>0</v>
      </c>
      <c r="AC110" s="22" t="s">
        <v>59</v>
      </c>
    </row>
    <row r="111" spans="1:39"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205" t="str">
        <f>IF(AND(A111&lt;&gt;"",ISNUMBER(A111)),VLOOKUP(A111,Studies!A:BR,6,FALSE),"")</f>
        <v>Plasma</v>
      </c>
      <c r="J111" s="43">
        <v>3</v>
      </c>
      <c r="K111" s="43" t="s">
        <v>2139</v>
      </c>
      <c r="M111" s="201"/>
      <c r="R111" s="38">
        <v>0</v>
      </c>
      <c r="S111" s="39" t="s">
        <v>935</v>
      </c>
      <c r="T111" s="40">
        <v>84</v>
      </c>
      <c r="U111" s="41" t="s">
        <v>935</v>
      </c>
      <c r="V111" s="42" t="s">
        <v>59</v>
      </c>
      <c r="W111" s="181" t="s">
        <v>2142</v>
      </c>
      <c r="X111" s="22">
        <v>400</v>
      </c>
      <c r="Z111" s="28" t="s">
        <v>57</v>
      </c>
      <c r="AA111" s="22" t="s">
        <v>58</v>
      </c>
      <c r="AB111" s="22" t="s">
        <v>830</v>
      </c>
      <c r="AC111" s="22" t="s">
        <v>59</v>
      </c>
      <c r="AD111" s="176" t="s">
        <v>1497</v>
      </c>
    </row>
    <row r="112" spans="1:39"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2139</v>
      </c>
      <c r="L112" s="76" t="s">
        <v>2149</v>
      </c>
      <c r="M112" s="201" t="s">
        <v>1156</v>
      </c>
      <c r="O112" s="193"/>
      <c r="R112" s="38">
        <v>21</v>
      </c>
      <c r="S112" s="39" t="s">
        <v>935</v>
      </c>
      <c r="T112" s="40">
        <v>132</v>
      </c>
      <c r="U112" s="41" t="s">
        <v>935</v>
      </c>
      <c r="V112" s="42" t="s">
        <v>59</v>
      </c>
      <c r="X112" s="22">
        <v>600</v>
      </c>
      <c r="Z112" s="28" t="s">
        <v>57</v>
      </c>
      <c r="AA112" s="22" t="s">
        <v>58</v>
      </c>
      <c r="AB112" s="22" t="s">
        <v>1136</v>
      </c>
      <c r="AC112" s="22" t="s">
        <v>59</v>
      </c>
      <c r="AD112" s="176" t="s">
        <v>1497</v>
      </c>
      <c r="AJ112" s="193"/>
      <c r="AK112" s="193"/>
    </row>
    <row r="113" spans="1:39"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1099</v>
      </c>
      <c r="M113" s="201"/>
      <c r="N113" s="52">
        <v>1.183333</v>
      </c>
      <c r="O113" s="52" t="s">
        <v>1099</v>
      </c>
      <c r="R113" s="38">
        <v>0</v>
      </c>
      <c r="S113" s="39" t="s">
        <v>935</v>
      </c>
      <c r="T113" s="40">
        <v>170</v>
      </c>
      <c r="U113" s="41" t="s">
        <v>935</v>
      </c>
      <c r="V113" s="42" t="s">
        <v>59</v>
      </c>
      <c r="X113" s="22">
        <v>400</v>
      </c>
      <c r="Z113" s="28" t="s">
        <v>57</v>
      </c>
      <c r="AA113" s="22" t="s">
        <v>58</v>
      </c>
      <c r="AB113" s="22" t="s">
        <v>2160</v>
      </c>
      <c r="AC113" s="22" t="s">
        <v>59</v>
      </c>
      <c r="AD113" s="176" t="s">
        <v>1116</v>
      </c>
      <c r="AF113" s="177" t="s">
        <v>2161</v>
      </c>
      <c r="AJ113" s="52" t="s">
        <v>61</v>
      </c>
      <c r="AK113" s="52" t="s">
        <v>1960</v>
      </c>
    </row>
    <row r="114" spans="1:39"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2139</v>
      </c>
      <c r="L114" s="76">
        <v>1.204995</v>
      </c>
      <c r="M114" s="201" t="s">
        <v>2168</v>
      </c>
      <c r="R114" s="38">
        <v>0</v>
      </c>
      <c r="S114" s="39" t="s">
        <v>935</v>
      </c>
      <c r="T114" s="40">
        <v>1.5</v>
      </c>
      <c r="U114" s="41" t="s">
        <v>935</v>
      </c>
      <c r="V114" s="42" t="s">
        <v>59</v>
      </c>
      <c r="W114" s="181" t="s">
        <v>2169</v>
      </c>
      <c r="X114" s="22">
        <v>500</v>
      </c>
      <c r="Z114" s="28" t="s">
        <v>57</v>
      </c>
      <c r="AA114" s="22" t="s">
        <v>58</v>
      </c>
      <c r="AB114" s="22">
        <v>0</v>
      </c>
      <c r="AC114" s="22" t="s">
        <v>59</v>
      </c>
      <c r="AD114" s="176" t="s">
        <v>78</v>
      </c>
      <c r="AF114" s="177" t="s">
        <v>2171</v>
      </c>
      <c r="AJ114" s="52" t="s">
        <v>61</v>
      </c>
      <c r="AK114" s="52" t="s">
        <v>1960</v>
      </c>
    </row>
    <row r="115" spans="1:39"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2139</v>
      </c>
      <c r="L115" s="76">
        <v>1.312773</v>
      </c>
      <c r="M115" s="201" t="s">
        <v>2168</v>
      </c>
      <c r="O115" s="193"/>
      <c r="R115" s="38">
        <v>0</v>
      </c>
      <c r="S115" s="39" t="s">
        <v>935</v>
      </c>
      <c r="T115" s="40">
        <v>145.5</v>
      </c>
      <c r="U115" s="41" t="s">
        <v>935</v>
      </c>
      <c r="V115" s="42" t="s">
        <v>59</v>
      </c>
      <c r="W115" s="181" t="s">
        <v>2169</v>
      </c>
      <c r="X115" s="22">
        <v>500</v>
      </c>
      <c r="Z115" s="28" t="s">
        <v>57</v>
      </c>
      <c r="AA115" s="22" t="s">
        <v>58</v>
      </c>
      <c r="AB115" s="22" t="s">
        <v>2170</v>
      </c>
      <c r="AC115" s="22" t="s">
        <v>59</v>
      </c>
      <c r="AD115" s="176" t="s">
        <v>1112</v>
      </c>
      <c r="AF115" s="177" t="s">
        <v>2171</v>
      </c>
      <c r="AJ115" s="193" t="s">
        <v>61</v>
      </c>
      <c r="AK115" s="193" t="s">
        <v>1960</v>
      </c>
      <c r="AL115" s="193"/>
      <c r="AM115" s="193"/>
    </row>
    <row r="116" spans="1:39"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1122</v>
      </c>
      <c r="L116" s="76">
        <v>0.42</v>
      </c>
      <c r="M116" s="201" t="s">
        <v>1121</v>
      </c>
      <c r="N116" s="52">
        <v>1.768</v>
      </c>
      <c r="O116" s="193" t="s">
        <v>1099</v>
      </c>
      <c r="R116" s="38">
        <v>0</v>
      </c>
      <c r="S116" s="39" t="s">
        <v>935</v>
      </c>
      <c r="T116" s="40">
        <v>25</v>
      </c>
      <c r="U116" s="41" t="s">
        <v>935</v>
      </c>
      <c r="V116" s="42" t="s">
        <v>59</v>
      </c>
      <c r="X116" s="22">
        <v>500</v>
      </c>
      <c r="Z116" s="28" t="s">
        <v>57</v>
      </c>
      <c r="AA116" s="22" t="s">
        <v>58</v>
      </c>
      <c r="AB116" s="22" t="s">
        <v>2174</v>
      </c>
      <c r="AC116" s="22" t="s">
        <v>59</v>
      </c>
      <c r="AD116" s="176" t="s">
        <v>2624</v>
      </c>
      <c r="AF116" s="177" t="s">
        <v>1138</v>
      </c>
      <c r="AI116" s="23" t="s">
        <v>2625</v>
      </c>
      <c r="AJ116" s="165" t="s">
        <v>435</v>
      </c>
      <c r="AK116" s="166"/>
      <c r="AL116" s="106" t="s">
        <v>202</v>
      </c>
      <c r="AM116" s="165" t="s">
        <v>516</v>
      </c>
    </row>
    <row r="117" spans="1:39"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2185</v>
      </c>
      <c r="G117" s="205" t="str">
        <f>IF(AND(A117&lt;&gt;"",ISNUMBER(A117)),VLOOKUP(A117,Studies!A:BR,13,FALSE),"")</f>
        <v>PO</v>
      </c>
      <c r="H117" s="138" t="s">
        <v>58</v>
      </c>
      <c r="I117" s="205" t="str">
        <f>IF(AND(A117&lt;&gt;"",ISNUMBER(A117)),VLOOKUP(A117,Studies!A:BR,6,FALSE),"")</f>
        <v>Plasma</v>
      </c>
      <c r="J117" s="43">
        <v>0.22</v>
      </c>
      <c r="K117" s="43" t="s">
        <v>2139</v>
      </c>
      <c r="L117" s="201" t="s">
        <v>2253</v>
      </c>
      <c r="M117" s="201" t="s">
        <v>1156</v>
      </c>
      <c r="N117" s="52">
        <v>0.42857139999999999</v>
      </c>
      <c r="O117" s="193" t="s">
        <v>1099</v>
      </c>
      <c r="R117" s="38">
        <v>0</v>
      </c>
      <c r="S117" s="39" t="s">
        <v>935</v>
      </c>
      <c r="T117" s="40">
        <v>336.5</v>
      </c>
      <c r="U117" s="41" t="s">
        <v>935</v>
      </c>
      <c r="V117" s="42" t="s">
        <v>59</v>
      </c>
      <c r="W117" s="181" t="s">
        <v>2953</v>
      </c>
      <c r="X117" s="22">
        <v>600</v>
      </c>
      <c r="Z117" s="28" t="s">
        <v>57</v>
      </c>
      <c r="AA117" s="22" t="s">
        <v>58</v>
      </c>
      <c r="AB117" s="22" t="s">
        <v>2246</v>
      </c>
      <c r="AC117" s="22" t="s">
        <v>59</v>
      </c>
      <c r="AD117" s="176" t="s">
        <v>1497</v>
      </c>
    </row>
    <row r="118" spans="1:39"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2185</v>
      </c>
      <c r="G118" s="205" t="str">
        <f>IF(AND(A118&lt;&gt;"",ISNUMBER(A118)),VLOOKUP(A118,Studies!A:BR,13,FALSE),"")</f>
        <v>IV</v>
      </c>
      <c r="H118" s="138" t="s">
        <v>58</v>
      </c>
      <c r="I118" s="205" t="str">
        <f>IF(AND(A118&lt;&gt;"",ISNUMBER(A118)),VLOOKUP(A118,Studies!A:BR,6,FALSE),"")</f>
        <v>Plasma</v>
      </c>
      <c r="J118" s="43">
        <v>0.54</v>
      </c>
      <c r="K118" s="43" t="s">
        <v>2139</v>
      </c>
      <c r="L118" s="201" t="s">
        <v>2252</v>
      </c>
      <c r="M118" s="201" t="s">
        <v>1156</v>
      </c>
      <c r="N118" s="52">
        <v>1.097826</v>
      </c>
      <c r="O118" s="193" t="s">
        <v>1099</v>
      </c>
      <c r="R118" s="38">
        <v>0</v>
      </c>
      <c r="S118" s="39" t="s">
        <v>935</v>
      </c>
      <c r="T118" s="40">
        <v>360.5</v>
      </c>
      <c r="U118" s="41" t="s">
        <v>935</v>
      </c>
      <c r="V118" s="42" t="s">
        <v>59</v>
      </c>
      <c r="W118" s="181" t="s">
        <v>2953</v>
      </c>
      <c r="X118" s="22">
        <v>600</v>
      </c>
      <c r="Z118" s="28" t="s">
        <v>57</v>
      </c>
      <c r="AA118" s="22" t="s">
        <v>58</v>
      </c>
      <c r="AB118" s="22" t="s">
        <v>2246</v>
      </c>
      <c r="AC118" s="22" t="s">
        <v>59</v>
      </c>
      <c r="AD118" s="176" t="s">
        <v>1497</v>
      </c>
    </row>
    <row r="119" spans="1:39"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205" t="str">
        <f>IF(AND(A119&lt;&gt;"",ISNUMBER(A119)),VLOOKUP(A119,Studies!A:BR,6,FALSE),"")</f>
        <v>Plasma</v>
      </c>
      <c r="J119" s="268">
        <f>9.74/5.67</f>
        <v>1.7178130511463845</v>
      </c>
      <c r="K119" s="43" t="s">
        <v>1099</v>
      </c>
      <c r="L119" s="201"/>
      <c r="M119" s="201"/>
      <c r="R119" s="38">
        <v>2</v>
      </c>
      <c r="S119" s="39">
        <v>4</v>
      </c>
      <c r="T119" s="40">
        <v>3</v>
      </c>
      <c r="U119" s="41">
        <v>5</v>
      </c>
      <c r="V119" s="42" t="s">
        <v>59</v>
      </c>
      <c r="X119" s="22">
        <v>250</v>
      </c>
      <c r="Z119" s="28" t="s">
        <v>57</v>
      </c>
      <c r="AA119" s="22" t="s">
        <v>58</v>
      </c>
      <c r="AB119" s="22">
        <v>0</v>
      </c>
      <c r="AC119" s="22" t="s">
        <v>59</v>
      </c>
      <c r="AD119" s="176" t="s">
        <v>78</v>
      </c>
      <c r="AF119" s="177" t="s">
        <v>2887</v>
      </c>
    </row>
    <row r="120" spans="1:39"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205" t="str">
        <f>IF(AND(A120&lt;&gt;"",ISNUMBER(A120)),VLOOKUP(A120,Studies!A:BR,6,FALSE),"")</f>
        <v>Plasma</v>
      </c>
      <c r="J120" s="268">
        <f>28.3/5.67</f>
        <v>4.9911816578483243</v>
      </c>
      <c r="K120" s="43" t="s">
        <v>1099</v>
      </c>
      <c r="M120" s="201"/>
      <c r="R120" s="38">
        <v>2</v>
      </c>
      <c r="S120" s="39">
        <v>4</v>
      </c>
      <c r="T120" s="40">
        <v>3</v>
      </c>
      <c r="U120" s="41">
        <v>5</v>
      </c>
      <c r="V120" s="42" t="s">
        <v>59</v>
      </c>
      <c r="X120" s="22">
        <v>1000</v>
      </c>
      <c r="Z120" s="28" t="s">
        <v>57</v>
      </c>
      <c r="AA120" s="22" t="s">
        <v>58</v>
      </c>
      <c r="AB120" s="22">
        <v>0</v>
      </c>
      <c r="AC120" s="22" t="s">
        <v>59</v>
      </c>
      <c r="AD120" s="176" t="s">
        <v>78</v>
      </c>
      <c r="AF120" s="177" t="s">
        <v>2887</v>
      </c>
    </row>
    <row r="121" spans="1:39"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205" t="str">
        <f>IF(AND(A121&lt;&gt;"",ISNUMBER(A121)),VLOOKUP(A121,Studies!A:BR,6,FALSE),"")</f>
        <v>Plasma</v>
      </c>
      <c r="J121" s="43">
        <v>0.11725846407927333</v>
      </c>
      <c r="K121" s="43" t="s">
        <v>1099</v>
      </c>
      <c r="M121" s="201"/>
      <c r="N121" s="52">
        <v>0.63815789473684204</v>
      </c>
      <c r="O121" s="52" t="s">
        <v>1100</v>
      </c>
      <c r="R121" s="38">
        <v>0</v>
      </c>
      <c r="S121" s="39" t="s">
        <v>935</v>
      </c>
      <c r="T121" s="40">
        <v>96</v>
      </c>
      <c r="U121" s="41" t="s">
        <v>935</v>
      </c>
      <c r="V121" s="42" t="s">
        <v>59</v>
      </c>
      <c r="W121" s="181" t="s">
        <v>2954</v>
      </c>
      <c r="X121" s="22">
        <v>450</v>
      </c>
      <c r="Z121" s="28" t="s">
        <v>57</v>
      </c>
      <c r="AB121" s="22" t="s">
        <v>2288</v>
      </c>
      <c r="AC121" s="22" t="s">
        <v>59</v>
      </c>
      <c r="AD121" s="176" t="s">
        <v>1497</v>
      </c>
    </row>
    <row r="122" spans="1:39"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205" t="str">
        <f>IF(AND(A122&lt;&gt;"",ISNUMBER(A122)),VLOOKUP(A122,Studies!A:BR,6,FALSE),"")</f>
        <v>Plasma</v>
      </c>
      <c r="J122" s="43">
        <v>1.7597027250206441</v>
      </c>
      <c r="K122" s="43" t="s">
        <v>1099</v>
      </c>
      <c r="M122" s="201"/>
      <c r="N122" s="52">
        <v>1.0789473684210527</v>
      </c>
      <c r="O122" s="52" t="s">
        <v>1100</v>
      </c>
      <c r="R122" s="38">
        <v>0</v>
      </c>
      <c r="S122" s="39" t="s">
        <v>935</v>
      </c>
      <c r="T122" s="40">
        <v>48</v>
      </c>
      <c r="U122" s="41" t="s">
        <v>935</v>
      </c>
      <c r="V122" s="42" t="s">
        <v>59</v>
      </c>
      <c r="W122" s="181" t="s">
        <v>2955</v>
      </c>
      <c r="X122" s="22">
        <v>200</v>
      </c>
      <c r="Z122" s="28" t="s">
        <v>57</v>
      </c>
      <c r="AB122" s="22" t="s">
        <v>2648</v>
      </c>
      <c r="AC122" s="22" t="s">
        <v>59</v>
      </c>
      <c r="AD122" s="176" t="s">
        <v>1112</v>
      </c>
    </row>
    <row r="123" spans="1:39"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205" t="str">
        <f>IF(AND(A123&lt;&gt;"",ISNUMBER(A123)),VLOOKUP(A123,Studies!A:BR,6,FALSE),"")</f>
        <v>Plasma</v>
      </c>
      <c r="J123" s="43">
        <v>5.0999999999999997E-2</v>
      </c>
      <c r="K123" s="43" t="s">
        <v>1122</v>
      </c>
      <c r="L123" s="76" t="s">
        <v>2800</v>
      </c>
      <c r="M123" s="201" t="s">
        <v>2801</v>
      </c>
      <c r="N123" s="52">
        <v>0.12413793103448276</v>
      </c>
      <c r="O123" s="52" t="s">
        <v>1100</v>
      </c>
      <c r="R123" s="38">
        <v>0</v>
      </c>
      <c r="S123" s="39" t="s">
        <v>935</v>
      </c>
      <c r="T123" s="40">
        <v>113</v>
      </c>
      <c r="U123" s="41" t="s">
        <v>935</v>
      </c>
      <c r="V123" s="42" t="s">
        <v>59</v>
      </c>
      <c r="W123" s="181" t="s">
        <v>2802</v>
      </c>
      <c r="X123" s="22">
        <v>600</v>
      </c>
      <c r="Z123" s="28" t="s">
        <v>57</v>
      </c>
      <c r="AA123" s="22" t="s">
        <v>58</v>
      </c>
      <c r="AB123" s="22" t="s">
        <v>2635</v>
      </c>
      <c r="AC123" s="22" t="s">
        <v>59</v>
      </c>
      <c r="AD123" s="176" t="s">
        <v>2803</v>
      </c>
      <c r="AF123" s="177" t="s">
        <v>2660</v>
      </c>
    </row>
    <row r="124" spans="1:39"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205" t="str">
        <f>IF(AND(A124&lt;&gt;"",ISNUMBER(A124)),VLOOKUP(A124,Studies!A:BR,6,FALSE),"")</f>
        <v>Plasma</v>
      </c>
      <c r="J124" s="43">
        <v>2.6626984126984126</v>
      </c>
      <c r="K124" s="43" t="s">
        <v>1099</v>
      </c>
      <c r="M124" s="201"/>
      <c r="N124" s="52">
        <v>1.2868217054263567</v>
      </c>
      <c r="O124" s="52" t="s">
        <v>1100</v>
      </c>
      <c r="R124" s="38">
        <v>0</v>
      </c>
      <c r="S124" s="39" t="s">
        <v>935</v>
      </c>
      <c r="T124" s="40">
        <v>73</v>
      </c>
      <c r="U124" s="41" t="s">
        <v>935</v>
      </c>
      <c r="V124" s="42" t="s">
        <v>59</v>
      </c>
      <c r="X124" s="22">
        <v>200</v>
      </c>
      <c r="Z124" s="28" t="s">
        <v>57</v>
      </c>
      <c r="AA124" s="22" t="s">
        <v>58</v>
      </c>
      <c r="AB124" s="22" t="s">
        <v>2665</v>
      </c>
      <c r="AC124" s="22" t="s">
        <v>59</v>
      </c>
      <c r="AD124" s="176" t="s">
        <v>2805</v>
      </c>
      <c r="AF124" s="177" t="s">
        <v>2666</v>
      </c>
    </row>
    <row r="125" spans="1:39"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205" t="str">
        <f>IF(AND(A125&lt;&gt;"",ISNUMBER(A125)),VLOOKUP(A125,Studies!A:BR,6,FALSE),"")</f>
        <v>Plasma</v>
      </c>
      <c r="J125" s="43">
        <v>20.0638618873603</v>
      </c>
      <c r="K125" s="43" t="s">
        <v>2806</v>
      </c>
      <c r="L125" s="76" t="s">
        <v>2807</v>
      </c>
      <c r="M125" s="201" t="s">
        <v>971</v>
      </c>
      <c r="N125" s="52">
        <v>3.1074871263980901</v>
      </c>
      <c r="O125" s="52" t="s">
        <v>2806</v>
      </c>
      <c r="P125" s="84" t="s">
        <v>2808</v>
      </c>
      <c r="Q125" s="84" t="s">
        <v>971</v>
      </c>
      <c r="R125" s="38">
        <v>0</v>
      </c>
      <c r="S125" s="39" t="s">
        <v>935</v>
      </c>
      <c r="T125" s="40">
        <v>73</v>
      </c>
      <c r="U125" s="41" t="s">
        <v>935</v>
      </c>
      <c r="V125" s="42" t="s">
        <v>59</v>
      </c>
      <c r="W125" s="181" t="s">
        <v>2809</v>
      </c>
      <c r="X125" s="22">
        <v>400</v>
      </c>
      <c r="Z125" s="28" t="s">
        <v>57</v>
      </c>
      <c r="AB125" s="22" t="s">
        <v>2288</v>
      </c>
      <c r="AC125" s="22" t="s">
        <v>59</v>
      </c>
      <c r="AD125" s="176" t="s">
        <v>2810</v>
      </c>
      <c r="AF125" s="177" t="s">
        <v>2290</v>
      </c>
      <c r="AM125" s="52" t="s">
        <v>2979</v>
      </c>
    </row>
    <row r="126" spans="1:39"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19.0287455476447</v>
      </c>
      <c r="K126" s="43" t="s">
        <v>2806</v>
      </c>
      <c r="L126" s="76" t="s">
        <v>2811</v>
      </c>
      <c r="M126" s="201" t="s">
        <v>971</v>
      </c>
      <c r="N126" s="52">
        <v>2.6854478328357501</v>
      </c>
      <c r="O126" s="52" t="s">
        <v>2806</v>
      </c>
      <c r="P126" s="84" t="s">
        <v>2812</v>
      </c>
      <c r="Q126" s="84" t="s">
        <v>971</v>
      </c>
      <c r="R126" s="38">
        <v>0</v>
      </c>
      <c r="S126" s="39" t="s">
        <v>935</v>
      </c>
      <c r="T126" s="40">
        <v>73</v>
      </c>
      <c r="U126" s="41" t="s">
        <v>935</v>
      </c>
      <c r="V126" s="42" t="s">
        <v>59</v>
      </c>
      <c r="W126" s="181" t="s">
        <v>2809</v>
      </c>
      <c r="X126" s="22">
        <v>200</v>
      </c>
      <c r="Z126" s="28" t="s">
        <v>57</v>
      </c>
      <c r="AB126" s="22" t="s">
        <v>2288</v>
      </c>
      <c r="AC126" s="22" t="s">
        <v>59</v>
      </c>
      <c r="AD126" s="176" t="s">
        <v>2810</v>
      </c>
      <c r="AF126" s="177" t="s">
        <v>832</v>
      </c>
      <c r="AM126" s="52" t="s">
        <v>2979</v>
      </c>
    </row>
    <row r="127" spans="1:39"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3.11</v>
      </c>
      <c r="K127" s="43" t="s">
        <v>2725</v>
      </c>
      <c r="N127" s="52">
        <v>1.41</v>
      </c>
      <c r="O127" s="52" t="s">
        <v>334</v>
      </c>
      <c r="R127" s="38">
        <v>0</v>
      </c>
      <c r="S127" s="39" t="s">
        <v>935</v>
      </c>
      <c r="T127" s="40">
        <v>0</v>
      </c>
      <c r="U127" s="41" t="s">
        <v>935</v>
      </c>
      <c r="V127" s="42" t="s">
        <v>59</v>
      </c>
      <c r="W127" s="181" t="s">
        <v>2813</v>
      </c>
      <c r="X127" s="22">
        <v>200</v>
      </c>
      <c r="Z127" s="28" t="s">
        <v>57</v>
      </c>
      <c r="AA127" s="22" t="s">
        <v>58</v>
      </c>
      <c r="AB127" s="22">
        <v>0</v>
      </c>
      <c r="AC127" s="22" t="s">
        <v>59</v>
      </c>
      <c r="AD127" s="176" t="s">
        <v>78</v>
      </c>
      <c r="AF127" s="177" t="s">
        <v>2349</v>
      </c>
      <c r="AH127" s="23">
        <v>150</v>
      </c>
      <c r="AJ127" s="52" t="s">
        <v>613</v>
      </c>
      <c r="AK127" s="52">
        <v>3</v>
      </c>
      <c r="AL127" s="52">
        <v>4</v>
      </c>
      <c r="AM127" s="52" t="s">
        <v>2980</v>
      </c>
    </row>
    <row r="128" spans="1:39"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4.79</v>
      </c>
      <c r="K128" s="43" t="s">
        <v>2725</v>
      </c>
      <c r="N128" s="52">
        <v>1.76</v>
      </c>
      <c r="O128" s="52" t="s">
        <v>334</v>
      </c>
      <c r="R128" s="38">
        <v>0</v>
      </c>
      <c r="S128" s="39" t="s">
        <v>935</v>
      </c>
      <c r="T128" s="40">
        <v>3</v>
      </c>
      <c r="U128" s="41" t="s">
        <v>935</v>
      </c>
      <c r="V128" s="42" t="s">
        <v>59</v>
      </c>
      <c r="W128" s="181" t="s">
        <v>2813</v>
      </c>
      <c r="X128" s="22">
        <v>200</v>
      </c>
      <c r="Z128" s="28" t="s">
        <v>57</v>
      </c>
      <c r="AA128" s="22" t="s">
        <v>58</v>
      </c>
      <c r="AB128" s="22">
        <v>0</v>
      </c>
      <c r="AC128" s="22" t="s">
        <v>59</v>
      </c>
      <c r="AD128" s="176" t="s">
        <v>78</v>
      </c>
      <c r="AF128" s="177" t="s">
        <v>2349</v>
      </c>
      <c r="AH128" s="23">
        <v>150</v>
      </c>
      <c r="AJ128" s="52" t="s">
        <v>2993</v>
      </c>
      <c r="AK128" s="52">
        <v>3</v>
      </c>
      <c r="AM128" s="52" t="s">
        <v>2981</v>
      </c>
    </row>
    <row r="129" spans="1:39"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205" t="str">
        <f>IF(AND(A129&lt;&gt;"",ISNUMBER(A129)),VLOOKUP(A129,Studies!A:BR,6,FALSE),"")</f>
        <v>Plasma</v>
      </c>
      <c r="J129" s="43">
        <v>4.63</v>
      </c>
      <c r="K129" s="43" t="s">
        <v>2725</v>
      </c>
      <c r="N129" s="52">
        <v>1.76</v>
      </c>
      <c r="O129" s="52" t="s">
        <v>334</v>
      </c>
      <c r="R129" s="38">
        <v>0</v>
      </c>
      <c r="S129" s="39" t="s">
        <v>935</v>
      </c>
      <c r="T129" s="40">
        <v>12</v>
      </c>
      <c r="U129" s="41" t="s">
        <v>935</v>
      </c>
      <c r="V129" s="42" t="s">
        <v>59</v>
      </c>
      <c r="W129" s="181" t="s">
        <v>2813</v>
      </c>
      <c r="X129" s="22">
        <v>200</v>
      </c>
      <c r="Z129" s="28" t="s">
        <v>57</v>
      </c>
      <c r="AA129" s="22" t="s">
        <v>58</v>
      </c>
      <c r="AB129" s="22">
        <v>0</v>
      </c>
      <c r="AC129" s="22" t="s">
        <v>59</v>
      </c>
      <c r="AD129" s="176" t="s">
        <v>78</v>
      </c>
      <c r="AF129" s="177" t="s">
        <v>2349</v>
      </c>
      <c r="AH129" s="23">
        <v>150</v>
      </c>
      <c r="AJ129" s="52" t="s">
        <v>2993</v>
      </c>
      <c r="AK129" s="52">
        <v>3</v>
      </c>
      <c r="AM129" s="52" t="s">
        <v>2982</v>
      </c>
    </row>
    <row r="130" spans="1:39"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205" t="str">
        <f>IF(AND(A130&lt;&gt;"",ISNUMBER(A130)),VLOOKUP(A130,Studies!A:BR,6,FALSE),"")</f>
        <v>Plasma</v>
      </c>
      <c r="J130" s="43">
        <v>3.82</v>
      </c>
      <c r="K130" s="43" t="s">
        <v>2725</v>
      </c>
      <c r="N130" s="52">
        <v>1.71</v>
      </c>
      <c r="O130" s="52" t="s">
        <v>334</v>
      </c>
      <c r="R130" s="38">
        <v>0</v>
      </c>
      <c r="S130" s="39" t="s">
        <v>935</v>
      </c>
      <c r="T130" s="40">
        <v>24</v>
      </c>
      <c r="U130" s="41" t="s">
        <v>935</v>
      </c>
      <c r="V130" s="42" t="s">
        <v>59</v>
      </c>
      <c r="W130" s="181" t="s">
        <v>2813</v>
      </c>
      <c r="X130" s="22">
        <v>200</v>
      </c>
      <c r="Z130" s="28" t="s">
        <v>57</v>
      </c>
      <c r="AA130" s="22" t="s">
        <v>58</v>
      </c>
      <c r="AB130" s="22">
        <v>0</v>
      </c>
      <c r="AC130" s="22" t="s">
        <v>59</v>
      </c>
      <c r="AD130" s="176" t="s">
        <v>78</v>
      </c>
      <c r="AF130" s="177" t="s">
        <v>2349</v>
      </c>
      <c r="AH130" s="23">
        <v>150</v>
      </c>
      <c r="AJ130" s="52" t="s">
        <v>2993</v>
      </c>
      <c r="AK130" s="52">
        <v>3</v>
      </c>
      <c r="AM130" s="52" t="s">
        <v>2994</v>
      </c>
    </row>
    <row r="131" spans="1:39"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205" t="str">
        <f>IF(AND(A131&lt;&gt;"",ISNUMBER(A131)),VLOOKUP(A131,Studies!A:BR,6,FALSE),"")</f>
        <v>Plasma</v>
      </c>
      <c r="J131" s="43">
        <f>772/100+1</f>
        <v>8.7199999999999989</v>
      </c>
      <c r="K131" s="43" t="s">
        <v>2626</v>
      </c>
      <c r="L131" s="76">
        <f>596/100</f>
        <v>5.96</v>
      </c>
      <c r="M131" s="76" t="s">
        <v>78</v>
      </c>
      <c r="N131" s="52">
        <f>268/100+1</f>
        <v>3.68</v>
      </c>
      <c r="O131" s="52" t="s">
        <v>2626</v>
      </c>
      <c r="P131" s="84">
        <f>222/100</f>
        <v>2.2200000000000002</v>
      </c>
      <c r="Q131" s="84" t="s">
        <v>78</v>
      </c>
      <c r="R131" s="38">
        <v>0</v>
      </c>
      <c r="S131" s="39" t="s">
        <v>935</v>
      </c>
      <c r="T131" s="40">
        <v>265</v>
      </c>
      <c r="U131" s="41" t="s">
        <v>935</v>
      </c>
      <c r="V131" s="42" t="s">
        <v>59</v>
      </c>
      <c r="X131" s="176">
        <v>200</v>
      </c>
      <c r="Y131" s="180"/>
      <c r="Z131" s="180" t="s">
        <v>57</v>
      </c>
      <c r="AA131" s="176"/>
      <c r="AB131" s="22" t="s">
        <v>2627</v>
      </c>
      <c r="AC131" s="176" t="s">
        <v>59</v>
      </c>
      <c r="AD131" s="176" t="s">
        <v>2628</v>
      </c>
      <c r="AE131" s="177" t="s">
        <v>834</v>
      </c>
      <c r="AG131" s="178"/>
      <c r="AH131" s="177"/>
      <c r="AI131" s="177"/>
    </row>
    <row r="132" spans="1:39"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205" t="str">
        <f>IF(AND(A132&lt;&gt;"",ISNUMBER(A132)),VLOOKUP(A132,Studies!A:BR,6,FALSE),"")</f>
        <v>Plasma</v>
      </c>
      <c r="J132" s="43">
        <f>66/100+1</f>
        <v>1.6600000000000001</v>
      </c>
      <c r="K132" s="43" t="s">
        <v>2626</v>
      </c>
      <c r="L132" s="76">
        <f>80/100</f>
        <v>0.8</v>
      </c>
      <c r="M132" s="76" t="s">
        <v>78</v>
      </c>
      <c r="N132" s="52">
        <f>63/100+1</f>
        <v>1.63</v>
      </c>
      <c r="O132" s="52" t="s">
        <v>2626</v>
      </c>
      <c r="P132" s="84">
        <f>107/100</f>
        <v>1.07</v>
      </c>
      <c r="Q132" s="84" t="s">
        <v>78</v>
      </c>
      <c r="R132" s="38">
        <v>0</v>
      </c>
      <c r="S132" s="39" t="s">
        <v>935</v>
      </c>
      <c r="T132" s="40">
        <v>265</v>
      </c>
      <c r="U132" s="41" t="s">
        <v>935</v>
      </c>
      <c r="V132" s="42" t="s">
        <v>59</v>
      </c>
      <c r="X132" s="176" t="s">
        <v>2617</v>
      </c>
      <c r="Y132" s="180"/>
      <c r="Z132" s="180" t="s">
        <v>57</v>
      </c>
      <c r="AA132" s="176"/>
      <c r="AB132" s="22" t="s">
        <v>2629</v>
      </c>
      <c r="AC132" s="176" t="s">
        <v>59</v>
      </c>
      <c r="AD132" s="176" t="s">
        <v>2983</v>
      </c>
      <c r="AE132" s="177" t="s">
        <v>2630</v>
      </c>
      <c r="AG132" s="178"/>
      <c r="AH132" s="177"/>
      <c r="AI132" s="177"/>
    </row>
    <row r="133" spans="1:39"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205" t="str">
        <f>IF(AND(A133&lt;&gt;"",ISNUMBER(A133)),VLOOKUP(A133,Studies!A:BR,6,FALSE),"")</f>
        <v>Plasma</v>
      </c>
      <c r="J133" s="43">
        <v>2.89</v>
      </c>
      <c r="K133" s="43" t="s">
        <v>2631</v>
      </c>
      <c r="L133" s="76" t="s">
        <v>2649</v>
      </c>
      <c r="M133" s="76" t="s">
        <v>1156</v>
      </c>
      <c r="R133" s="38">
        <v>0</v>
      </c>
      <c r="S133" s="39" t="s">
        <v>935</v>
      </c>
      <c r="T133" s="40">
        <v>73</v>
      </c>
      <c r="U133" s="41" t="s">
        <v>935</v>
      </c>
      <c r="V133" s="42" t="s">
        <v>59</v>
      </c>
      <c r="W133" s="181" t="s">
        <v>2747</v>
      </c>
      <c r="X133" s="22">
        <v>400</v>
      </c>
      <c r="Y133" s="180"/>
      <c r="Z133" s="180" t="s">
        <v>57</v>
      </c>
      <c r="AA133" s="22" t="s">
        <v>58</v>
      </c>
      <c r="AB133" s="22" t="s">
        <v>2650</v>
      </c>
      <c r="AC133" s="176" t="s">
        <v>59</v>
      </c>
      <c r="AD133" s="176" t="s">
        <v>2651</v>
      </c>
      <c r="AE133" s="177" t="s">
        <v>2652</v>
      </c>
      <c r="AF133" s="177" t="s">
        <v>2653</v>
      </c>
      <c r="AH133" s="177"/>
      <c r="AI133" s="177"/>
    </row>
    <row r="134" spans="1:39" x14ac:dyDescent="0.2">
      <c r="A134" s="30">
        <v>1092</v>
      </c>
      <c r="B134" s="204" t="str">
        <f>IF(AND(A134&lt;&gt;"",ISNUMBER(A134)),VLOOKUP(A134,Studies!A:BR,2,FALSE),"")</f>
        <v>Shin 2013</v>
      </c>
      <c r="C134" s="204" t="str">
        <f>IF(AND(A134&lt;&gt;"",ISNUMBER(A134)),VLOOKUP(A134,Studies!A:BR,3,FALSE),"")</f>
        <v>https://www.ncbi.nlm.nih.gov/pubmed/23784264</v>
      </c>
      <c r="D134" s="204" t="str">
        <f>IF(AND(A134&lt;&gt;"",ISNUMBER(A134)),VLOOKUP(A134,Studies!A:BR,4,FALSE),"")</f>
        <v>CYP3A4 induced phase (Midazolam + rifampicin)</v>
      </c>
      <c r="E134" s="139" t="str">
        <f>IF(AND(A134&lt;&gt;"",ISNUMBER(A134)),VLOOKUP(A134,Studies!A:BR,5,FALSE),"")</f>
        <v>Midazolam</v>
      </c>
      <c r="F134" s="42" t="s">
        <v>53</v>
      </c>
      <c r="G134" s="205" t="str">
        <f>IF(AND(A134&lt;&gt;"",ISNUMBER(A134)),VLOOKUP(A134,Studies!A:BR,13,FALSE),"")</f>
        <v>IV</v>
      </c>
      <c r="H134" s="68" t="s">
        <v>58</v>
      </c>
      <c r="I134" s="205" t="str">
        <f>IF(AND(A134&lt;&gt;"",ISNUMBER(A134)),VLOOKUP(A134,Studies!A:BR,6,FALSE),"")</f>
        <v>Plasma</v>
      </c>
      <c r="J134" s="43">
        <f>0.46*2.5</f>
        <v>1.1500000000000001</v>
      </c>
      <c r="K134" s="43" t="s">
        <v>2631</v>
      </c>
      <c r="L134" s="76" t="str">
        <f>0.41*2.5&amp;" - "&amp;0.51*2.5</f>
        <v>1.025 - 1.275</v>
      </c>
      <c r="M134" s="76" t="s">
        <v>1156</v>
      </c>
      <c r="R134" s="38">
        <v>0</v>
      </c>
      <c r="S134" s="39" t="s">
        <v>935</v>
      </c>
      <c r="T134" s="40">
        <v>216</v>
      </c>
      <c r="U134" s="41" t="s">
        <v>935</v>
      </c>
      <c r="V134" s="42" t="s">
        <v>59</v>
      </c>
      <c r="W134" s="181" t="s">
        <v>2956</v>
      </c>
      <c r="X134" s="22">
        <v>600</v>
      </c>
      <c r="Y134" s="180"/>
      <c r="Z134" s="180" t="s">
        <v>57</v>
      </c>
      <c r="AA134" s="22" t="s">
        <v>58</v>
      </c>
      <c r="AB134" s="22" t="s">
        <v>2654</v>
      </c>
      <c r="AC134" s="176" t="s">
        <v>59</v>
      </c>
      <c r="AD134" s="176" t="s">
        <v>2655</v>
      </c>
      <c r="AE134" s="23" t="s">
        <v>2656</v>
      </c>
      <c r="AF134" s="177" t="s">
        <v>2657</v>
      </c>
      <c r="AH134" s="177"/>
      <c r="AI134" s="177"/>
    </row>
    <row r="135" spans="1:39"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I135" s="205" t="str">
        <f>IF(AND(A135&lt;&gt;"",ISNUMBER(A135)),VLOOKUP(A135,Studies!A:BR,6,FALSE),"")</f>
        <v>Plasma</v>
      </c>
      <c r="J135" s="43">
        <v>4.7699999999999996</v>
      </c>
      <c r="K135" s="43" t="s">
        <v>2631</v>
      </c>
      <c r="L135" s="76" t="s">
        <v>2658</v>
      </c>
      <c r="M135" s="76" t="s">
        <v>1156</v>
      </c>
      <c r="N135" s="52">
        <v>1.45</v>
      </c>
      <c r="O135" s="52" t="s">
        <v>2631</v>
      </c>
      <c r="P135" s="84" t="s">
        <v>2659</v>
      </c>
      <c r="Q135" s="84" t="s">
        <v>1156</v>
      </c>
      <c r="R135" s="38">
        <v>0</v>
      </c>
      <c r="S135" s="39" t="s">
        <v>935</v>
      </c>
      <c r="T135" s="40">
        <v>73</v>
      </c>
      <c r="U135" s="41" t="s">
        <v>935</v>
      </c>
      <c r="V135" s="42" t="s">
        <v>59</v>
      </c>
      <c r="X135" s="176">
        <v>400</v>
      </c>
      <c r="Y135" s="180"/>
      <c r="Z135" s="180" t="s">
        <v>57</v>
      </c>
      <c r="AA135" s="176"/>
      <c r="AB135" s="176" t="s">
        <v>2650</v>
      </c>
      <c r="AC135" s="176" t="s">
        <v>59</v>
      </c>
      <c r="AD135" s="176" t="s">
        <v>2651</v>
      </c>
      <c r="AE135" s="23" t="s">
        <v>834</v>
      </c>
      <c r="AF135" s="177" t="s">
        <v>2985</v>
      </c>
    </row>
    <row r="136" spans="1:39" x14ac:dyDescent="0.2">
      <c r="A136" s="181">
        <v>1095</v>
      </c>
      <c r="B136" s="204" t="str">
        <f>IF(AND(A136&lt;&gt;"",ISNUMBER(A136)),VLOOKUP(A136,Studies!A:BR,2,FALSE),"")</f>
        <v>Shin 2016</v>
      </c>
      <c r="C136" s="204" t="str">
        <f>IF(AND(A136&lt;&gt;"",ISNUMBER(A136)),VLOOKUP(A136,Studies!A:BR,3,FALSE),"")</f>
        <v>https://www.ncbi.nlm.nih.gov/pubmed/27317471</v>
      </c>
      <c r="D136" s="204" t="str">
        <f>IF(AND(A136&lt;&gt;"",ISNUMBER(A136)),VLOOKUP(A136,Studies!A:BR,4,FALSE),"")</f>
        <v>Midazolam + rifampicin</v>
      </c>
      <c r="E136" s="139" t="str">
        <f>IF(AND(A136&lt;&gt;"",ISNUMBER(A136)),VLOOKUP(A136,Studies!A:BR,5,FALSE),"")</f>
        <v>Midazolam</v>
      </c>
      <c r="F136" s="42" t="s">
        <v>53</v>
      </c>
      <c r="G136" s="205" t="str">
        <f>IF(AND(A136&lt;&gt;"",ISNUMBER(A136)),VLOOKUP(A136,Studies!A:BR,13,FALSE),"")</f>
        <v>IV</v>
      </c>
      <c r="H136" s="68" t="s">
        <v>58</v>
      </c>
      <c r="I136" s="205" t="str">
        <f>IF(AND(A136&lt;&gt;"",ISNUMBER(A136)),VLOOKUP(A136,Studies!A:BR,6,FALSE),"")</f>
        <v>Plasma</v>
      </c>
      <c r="J136" s="43">
        <f>0.49*2.5</f>
        <v>1.2250000000000001</v>
      </c>
      <c r="K136" s="43" t="s">
        <v>2631</v>
      </c>
      <c r="L136" s="76" t="str">
        <f>0.46*2.5&amp;" - "&amp;0.53*2.5</f>
        <v>1.15 - 1.325</v>
      </c>
      <c r="M136" s="76" t="s">
        <v>1156</v>
      </c>
      <c r="N136" s="52">
        <f>0.71*2.5</f>
        <v>1.7749999999999999</v>
      </c>
      <c r="O136" s="52" t="s">
        <v>2631</v>
      </c>
      <c r="P136" s="84" t="str">
        <f>0.68*2.5&amp;" - "&amp;0.76*2.5</f>
        <v>1.7 - 1.9</v>
      </c>
      <c r="Q136" s="84" t="s">
        <v>1156</v>
      </c>
      <c r="R136" s="38">
        <v>0</v>
      </c>
      <c r="S136" s="39" t="s">
        <v>935</v>
      </c>
      <c r="T136" s="40">
        <v>216</v>
      </c>
      <c r="U136" s="41" t="s">
        <v>935</v>
      </c>
      <c r="V136" s="42" t="s">
        <v>59</v>
      </c>
      <c r="W136" s="181" t="s">
        <v>2746</v>
      </c>
      <c r="X136" s="176">
        <v>600</v>
      </c>
      <c r="Y136" s="180"/>
      <c r="Z136" s="180" t="s">
        <v>57</v>
      </c>
      <c r="AA136" s="176" t="s">
        <v>58</v>
      </c>
      <c r="AB136" s="176" t="s">
        <v>2654</v>
      </c>
      <c r="AC136" s="176" t="s">
        <v>59</v>
      </c>
      <c r="AD136" s="176" t="s">
        <v>2655</v>
      </c>
      <c r="AE136" s="177" t="s">
        <v>1141</v>
      </c>
      <c r="AF136" s="177" t="s">
        <v>2657</v>
      </c>
      <c r="AG136" s="178"/>
      <c r="AH136" s="177"/>
      <c r="AI136" s="177"/>
    </row>
    <row r="137" spans="1:39"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205" t="str">
        <f>IF(AND(A137&lt;&gt;"",ISNUMBER(A137)),VLOOKUP(A137,Studies!A:BR,6,FALSE),"")</f>
        <v>Plasma</v>
      </c>
      <c r="J137" s="43">
        <v>7.04</v>
      </c>
      <c r="K137" s="43" t="s">
        <v>2139</v>
      </c>
      <c r="L137" s="76" t="s">
        <v>2632</v>
      </c>
      <c r="M137" s="76" t="s">
        <v>1156</v>
      </c>
      <c r="N137" s="52">
        <v>3.71</v>
      </c>
      <c r="O137" s="52" t="s">
        <v>2139</v>
      </c>
      <c r="P137" s="84" t="s">
        <v>2633</v>
      </c>
      <c r="Q137" s="84" t="s">
        <v>1156</v>
      </c>
      <c r="R137" s="38">
        <v>0</v>
      </c>
      <c r="S137" s="39" t="s">
        <v>935</v>
      </c>
      <c r="T137" s="40">
        <v>72</v>
      </c>
      <c r="U137" s="41" t="s">
        <v>935</v>
      </c>
      <c r="V137" s="42" t="s">
        <v>59</v>
      </c>
      <c r="W137" s="181" t="s">
        <v>2634</v>
      </c>
      <c r="X137" s="22">
        <v>200</v>
      </c>
      <c r="Y137" s="180"/>
      <c r="Z137" s="180" t="s">
        <v>57</v>
      </c>
      <c r="AA137" s="22" t="s">
        <v>58</v>
      </c>
      <c r="AB137" s="22" t="s">
        <v>2635</v>
      </c>
      <c r="AC137" s="176" t="s">
        <v>59</v>
      </c>
      <c r="AD137" s="176" t="s">
        <v>2636</v>
      </c>
      <c r="AE137" s="177" t="s">
        <v>831</v>
      </c>
      <c r="AF137" s="177" t="s">
        <v>2637</v>
      </c>
      <c r="AH137" s="177"/>
      <c r="AI137" s="177"/>
    </row>
    <row r="138" spans="1:39" x14ac:dyDescent="0.2">
      <c r="A138" s="181">
        <v>1098</v>
      </c>
      <c r="B138" s="204" t="str">
        <f>IF(AND(A138&lt;&gt;"",ISNUMBER(A138)),VLOOKUP(A138,Studies!A:BR,2,FALSE),"")</f>
        <v>Prueksaritanont 2017</v>
      </c>
      <c r="C138" s="204" t="str">
        <f>IF(AND(A138&lt;&gt;"",ISNUMBER(A138)),VLOOKUP(A138,Studies!A:BR,3,FALSE),"")</f>
        <v>https://www.ncbi.nlm.nih.gov/pubmed/27943276</v>
      </c>
      <c r="D138" s="204" t="str">
        <f>IF(AND(A138&lt;&gt;"",ISNUMBER(A138)),VLOOKUP(A138,Studies!A:BR,4,FALSE),"")</f>
        <v>Midazolam in microdosecocktail + Rifampin</v>
      </c>
      <c r="E138" s="139" t="str">
        <f>IF(AND(A138&lt;&gt;"",ISNUMBER(A138)),VLOOKUP(A138,Studies!A:BR,5,FALSE),"")</f>
        <v>Midazolam</v>
      </c>
      <c r="F138" s="42" t="s">
        <v>53</v>
      </c>
      <c r="G138" s="205" t="str">
        <f>IF(AND(A138&lt;&gt;"",ISNUMBER(A138)),VLOOKUP(A138,Studies!A:BR,13,FALSE),"")</f>
        <v>PO</v>
      </c>
      <c r="H138" s="68" t="s">
        <v>58</v>
      </c>
      <c r="I138" s="205" t="str">
        <f>IF(AND(A138&lt;&gt;"",ISNUMBER(A138)),VLOOKUP(A138,Studies!A:BR,6,FALSE),"")</f>
        <v>Plasma</v>
      </c>
      <c r="J138" s="43">
        <v>0.94</v>
      </c>
      <c r="K138" s="187" t="s">
        <v>2139</v>
      </c>
      <c r="L138" s="76" t="s">
        <v>2638</v>
      </c>
      <c r="M138" s="76" t="s">
        <v>1156</v>
      </c>
      <c r="N138" s="52">
        <v>1.3</v>
      </c>
      <c r="O138" s="52" t="s">
        <v>2139</v>
      </c>
      <c r="P138" s="84" t="s">
        <v>2639</v>
      </c>
      <c r="Q138" s="84" t="s">
        <v>1156</v>
      </c>
      <c r="R138" s="38">
        <v>0</v>
      </c>
      <c r="S138" s="39" t="s">
        <v>935</v>
      </c>
      <c r="T138" s="40">
        <v>0</v>
      </c>
      <c r="U138" s="41" t="s">
        <v>935</v>
      </c>
      <c r="V138" s="42" t="s">
        <v>59</v>
      </c>
      <c r="W138" s="181" t="s">
        <v>2640</v>
      </c>
      <c r="X138" s="22">
        <v>600</v>
      </c>
      <c r="Z138" s="28" t="s">
        <v>57</v>
      </c>
      <c r="AA138" s="176" t="s">
        <v>58</v>
      </c>
      <c r="AB138" s="22">
        <v>0</v>
      </c>
      <c r="AC138" s="22" t="s">
        <v>59</v>
      </c>
      <c r="AD138" s="176" t="s">
        <v>78</v>
      </c>
      <c r="AE138" s="23" t="s">
        <v>1137</v>
      </c>
      <c r="AF138" s="177" t="s">
        <v>2641</v>
      </c>
    </row>
    <row r="139" spans="1:39"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205" t="str">
        <f>IF(AND(A139&lt;&gt;"",ISNUMBER(A139)),VLOOKUP(A139,Studies!A:BR,6,FALSE),"")</f>
        <v>Plasma</v>
      </c>
      <c r="J139" s="43">
        <v>4.84</v>
      </c>
      <c r="K139" s="187" t="s">
        <v>2139</v>
      </c>
      <c r="L139" s="76" t="s">
        <v>2642</v>
      </c>
      <c r="M139" s="76" t="s">
        <v>1156</v>
      </c>
      <c r="N139" s="52">
        <v>2.69</v>
      </c>
      <c r="O139" s="52" t="s">
        <v>2139</v>
      </c>
      <c r="P139" s="84" t="s">
        <v>2643</v>
      </c>
      <c r="Q139" s="84" t="s">
        <v>1156</v>
      </c>
      <c r="R139" s="38">
        <v>0</v>
      </c>
      <c r="S139" s="39" t="s">
        <v>935</v>
      </c>
      <c r="T139" s="40">
        <v>72</v>
      </c>
      <c r="U139" s="41" t="s">
        <v>935</v>
      </c>
      <c r="V139" s="42" t="s">
        <v>59</v>
      </c>
      <c r="W139" s="181" t="s">
        <v>2644</v>
      </c>
      <c r="X139" s="22">
        <v>500</v>
      </c>
      <c r="Z139" s="28" t="s">
        <v>57</v>
      </c>
      <c r="AA139" s="176" t="s">
        <v>58</v>
      </c>
      <c r="AB139" s="22" t="s">
        <v>2645</v>
      </c>
      <c r="AC139" s="22" t="s">
        <v>59</v>
      </c>
      <c r="AD139" s="176" t="s">
        <v>2646</v>
      </c>
      <c r="AE139" s="23" t="s">
        <v>1131</v>
      </c>
      <c r="AF139" s="177" t="s">
        <v>2647</v>
      </c>
    </row>
    <row r="140" spans="1:39"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205" t="str">
        <f>IF(AND(A140&lt;&gt;"",ISNUMBER(A140)),VLOOKUP(A140,Studies!A:BR,6,FALSE),"")</f>
        <v>Plasma</v>
      </c>
      <c r="J140" s="187">
        <v>5.0599999999999996</v>
      </c>
      <c r="K140" s="187" t="s">
        <v>2593</v>
      </c>
      <c r="L140" s="76">
        <v>0.44</v>
      </c>
      <c r="M140" s="76" t="s">
        <v>1121</v>
      </c>
      <c r="N140" s="193">
        <v>1.968</v>
      </c>
      <c r="O140" s="193" t="s">
        <v>1099</v>
      </c>
      <c r="R140" s="38">
        <v>0</v>
      </c>
      <c r="S140" s="39" t="s">
        <v>935</v>
      </c>
      <c r="T140" s="40">
        <v>25</v>
      </c>
      <c r="U140" s="41" t="s">
        <v>935</v>
      </c>
      <c r="V140" s="186" t="s">
        <v>59</v>
      </c>
      <c r="X140" s="176">
        <v>500</v>
      </c>
      <c r="Y140" s="180"/>
      <c r="Z140" s="180" t="s">
        <v>57</v>
      </c>
      <c r="AA140" s="176" t="s">
        <v>58</v>
      </c>
      <c r="AB140" s="22" t="s">
        <v>2174</v>
      </c>
      <c r="AC140" s="176" t="s">
        <v>59</v>
      </c>
      <c r="AD140" s="176" t="s">
        <v>2624</v>
      </c>
      <c r="AE140" s="177"/>
      <c r="AF140" s="177" t="s">
        <v>1138</v>
      </c>
      <c r="AG140" s="178"/>
      <c r="AH140" s="177"/>
      <c r="AI140" s="177" t="s">
        <v>2625</v>
      </c>
      <c r="AJ140" s="52" t="s">
        <v>642</v>
      </c>
      <c r="AL140" s="52">
        <v>4</v>
      </c>
      <c r="AM140" s="52" t="s">
        <v>516</v>
      </c>
    </row>
    <row r="141" spans="1:39"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205" t="str">
        <f>IF(AND(A141&lt;&gt;"",ISNUMBER(A141)),VLOOKUP(A141,Studies!A:BR,6,FALSE),"")</f>
        <v>Plasma</v>
      </c>
      <c r="J141" s="187">
        <f>61/48.6</f>
        <v>1.2551440329218106</v>
      </c>
      <c r="K141" s="187" t="s">
        <v>1099</v>
      </c>
      <c r="N141" s="193">
        <v>1.176923076923077</v>
      </c>
      <c r="O141" s="193" t="s">
        <v>1100</v>
      </c>
      <c r="R141" s="38">
        <v>0</v>
      </c>
      <c r="S141" s="39">
        <v>5</v>
      </c>
      <c r="T141" s="40">
        <v>144</v>
      </c>
      <c r="U141" s="41">
        <v>149</v>
      </c>
      <c r="V141" s="186" t="s">
        <v>59</v>
      </c>
      <c r="W141" s="181" t="s">
        <v>2616</v>
      </c>
      <c r="X141" s="176" t="s">
        <v>2617</v>
      </c>
      <c r="Y141" s="180"/>
      <c r="Z141" s="180" t="s">
        <v>57</v>
      </c>
      <c r="AA141" s="176" t="s">
        <v>58</v>
      </c>
      <c r="AB141" s="22" t="s">
        <v>2618</v>
      </c>
      <c r="AC141" s="176" t="s">
        <v>59</v>
      </c>
      <c r="AD141" s="176" t="s">
        <v>2619</v>
      </c>
      <c r="AE141" s="177" t="s">
        <v>2413</v>
      </c>
      <c r="AF141" s="177" t="s">
        <v>2414</v>
      </c>
      <c r="AG141" s="178"/>
      <c r="AH141" s="177"/>
      <c r="AI141" s="177" t="s">
        <v>2620</v>
      </c>
      <c r="AJ141" s="52" t="s">
        <v>642</v>
      </c>
      <c r="AM141" s="52" t="s">
        <v>2408</v>
      </c>
    </row>
    <row r="142" spans="1:39"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2037</v>
      </c>
      <c r="G142" s="205" t="str">
        <f>IF(AND(A142&lt;&gt;"",ISNUMBER(A142)),VLOOKUP(A142,Studies!A:BR,13,FALSE),"")</f>
        <v>PO</v>
      </c>
      <c r="H142" s="68" t="s">
        <v>58</v>
      </c>
      <c r="I142" s="205" t="str">
        <f>IF(AND(A142&lt;&gt;"",ISNUMBER(A142)),VLOOKUP(A142,Studies!A:BR,6,FALSE),"")</f>
        <v>Plasma</v>
      </c>
      <c r="J142" s="187">
        <v>0.92073170731707321</v>
      </c>
      <c r="K142" s="187" t="s">
        <v>1099</v>
      </c>
      <c r="N142" s="193">
        <v>0.96279069767441861</v>
      </c>
      <c r="O142" s="193" t="s">
        <v>1100</v>
      </c>
      <c r="R142" s="38">
        <v>0</v>
      </c>
      <c r="S142" s="39" t="s">
        <v>935</v>
      </c>
      <c r="T142" s="40">
        <v>0</v>
      </c>
      <c r="U142" s="41" t="s">
        <v>935</v>
      </c>
      <c r="V142" s="186" t="s">
        <v>59</v>
      </c>
      <c r="W142" s="181" t="s">
        <v>2623</v>
      </c>
      <c r="X142" s="176">
        <v>1</v>
      </c>
      <c r="Y142" s="180"/>
      <c r="Z142" s="180" t="s">
        <v>57</v>
      </c>
      <c r="AA142" s="176" t="s">
        <v>58</v>
      </c>
      <c r="AB142" s="22" t="s">
        <v>2410</v>
      </c>
      <c r="AC142" s="176" t="s">
        <v>59</v>
      </c>
      <c r="AD142" s="176" t="s">
        <v>2407</v>
      </c>
      <c r="AE142" s="177" t="s">
        <v>2275</v>
      </c>
      <c r="AF142" s="177" t="s">
        <v>1889</v>
      </c>
      <c r="AG142" s="178"/>
      <c r="AH142" s="177"/>
      <c r="AI142" s="177"/>
      <c r="AJ142" s="52" t="s">
        <v>642</v>
      </c>
      <c r="AM142" s="52" t="s">
        <v>2408</v>
      </c>
    </row>
    <row r="143" spans="1:39"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205" t="str">
        <f>IF(AND(A143&lt;&gt;"",ISNUMBER(A143)),VLOOKUP(A143,Studies!A:BR,6,FALSE),"")</f>
        <v>Plasma</v>
      </c>
      <c r="J143" s="187">
        <v>2.9166666666666665</v>
      </c>
      <c r="K143" s="187" t="s">
        <v>2725</v>
      </c>
      <c r="N143" s="193">
        <v>1.9692307692307693</v>
      </c>
      <c r="O143" s="193" t="s">
        <v>2725</v>
      </c>
      <c r="R143" s="38">
        <v>0</v>
      </c>
      <c r="S143" s="39" t="s">
        <v>935</v>
      </c>
      <c r="T143" s="40">
        <v>25</v>
      </c>
      <c r="U143" s="41" t="s">
        <v>935</v>
      </c>
      <c r="V143" s="186" t="s">
        <v>59</v>
      </c>
      <c r="X143" s="176">
        <v>80</v>
      </c>
      <c r="Y143" s="180"/>
      <c r="Z143" s="180" t="s">
        <v>57</v>
      </c>
      <c r="AA143" s="176" t="s">
        <v>58</v>
      </c>
      <c r="AB143" s="22" t="s">
        <v>2426</v>
      </c>
      <c r="AC143" s="176" t="s">
        <v>59</v>
      </c>
      <c r="AD143" s="176" t="s">
        <v>2613</v>
      </c>
      <c r="AE143" s="177" t="s">
        <v>2614</v>
      </c>
      <c r="AF143" s="177" t="s">
        <v>2615</v>
      </c>
      <c r="AG143" s="178"/>
      <c r="AH143" s="177"/>
      <c r="AI143" s="177"/>
    </row>
    <row r="144" spans="1:39"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I144" s="205" t="str">
        <f>IF(AND(A144&lt;&gt;"",ISNUMBER(A144)),VLOOKUP(A144,Studies!A:BR,6,FALSE),"")</f>
        <v>Plasma</v>
      </c>
      <c r="J144" s="43">
        <v>1.4523809523809523</v>
      </c>
      <c r="K144" s="43" t="s">
        <v>2725</v>
      </c>
      <c r="R144" s="38">
        <v>0</v>
      </c>
      <c r="S144" s="39" t="s">
        <v>935</v>
      </c>
      <c r="T144" s="40">
        <v>144</v>
      </c>
      <c r="U144" s="41" t="s">
        <v>935</v>
      </c>
      <c r="V144" s="42" t="s">
        <v>59</v>
      </c>
      <c r="W144" s="181" t="s">
        <v>2661</v>
      </c>
      <c r="X144" s="22">
        <v>240</v>
      </c>
      <c r="Z144" s="180" t="s">
        <v>57</v>
      </c>
      <c r="AB144" s="22" t="s">
        <v>2618</v>
      </c>
      <c r="AC144" s="22" t="s">
        <v>59</v>
      </c>
      <c r="AD144" s="176" t="s">
        <v>91</v>
      </c>
      <c r="AE144" s="23" t="s">
        <v>2662</v>
      </c>
      <c r="AF144" s="177" t="s">
        <v>2663</v>
      </c>
    </row>
    <row r="145" spans="1:39"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205" t="str">
        <f>IF(AND(A145&lt;&gt;"",ISNUMBER(A145)),VLOOKUP(A145,Studies!A:BR,6,FALSE),"")</f>
        <v>Plasma</v>
      </c>
      <c r="J145" s="43">
        <f>2077/1058</f>
        <v>1.9631379962192816</v>
      </c>
      <c r="K145" s="43" t="s">
        <v>1099</v>
      </c>
      <c r="N145" s="52">
        <f>1/0.5370741</f>
        <v>1.8619404659431538</v>
      </c>
      <c r="O145" s="52" t="s">
        <v>1100</v>
      </c>
      <c r="R145" s="38">
        <v>72</v>
      </c>
      <c r="S145" s="39">
        <v>96</v>
      </c>
      <c r="T145" s="40">
        <v>216</v>
      </c>
      <c r="U145" s="41">
        <f>216+24</f>
        <v>240</v>
      </c>
      <c r="V145" s="42" t="s">
        <v>59</v>
      </c>
      <c r="W145" s="181" t="s">
        <v>2820</v>
      </c>
      <c r="X145" s="176" t="s">
        <v>2821</v>
      </c>
      <c r="Y145" s="180"/>
      <c r="Z145" s="180" t="s">
        <v>57</v>
      </c>
      <c r="AA145" s="22" t="s">
        <v>58</v>
      </c>
      <c r="AB145" s="22" t="s">
        <v>2622</v>
      </c>
      <c r="AC145" s="22" t="s">
        <v>59</v>
      </c>
      <c r="AD145" s="176" t="s">
        <v>2810</v>
      </c>
      <c r="AE145" s="23" t="s">
        <v>2822</v>
      </c>
      <c r="AG145" s="178"/>
      <c r="AH145" s="177"/>
      <c r="AI145" s="177"/>
      <c r="AJ145" s="52" t="s">
        <v>642</v>
      </c>
      <c r="AM145" s="52" t="s">
        <v>2408</v>
      </c>
    </row>
    <row r="146" spans="1:39"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2037</v>
      </c>
      <c r="G146" s="205" t="str">
        <f>IF(AND(A146&lt;&gt;"",ISNUMBER(A146)),VLOOKUP(A146,Studies!A:BR,13,FALSE),"")</f>
        <v>PO</v>
      </c>
      <c r="H146" s="68" t="s">
        <v>58</v>
      </c>
      <c r="I146" s="205" t="str">
        <f>IF(AND(A146&lt;&gt;"",ISNUMBER(A146)),VLOOKUP(A146,Studies!A:BR,6,FALSE),"")</f>
        <v>Plasma</v>
      </c>
      <c r="J146" s="43">
        <v>0.76106696935300799</v>
      </c>
      <c r="K146" s="43" t="s">
        <v>1099</v>
      </c>
      <c r="N146" s="52">
        <v>0.78751258811681779</v>
      </c>
      <c r="O146" s="52" t="s">
        <v>1100</v>
      </c>
      <c r="Q146" s="202"/>
      <c r="R146" s="38">
        <v>0</v>
      </c>
      <c r="S146" s="39">
        <v>216</v>
      </c>
      <c r="T146" s="40">
        <v>0</v>
      </c>
      <c r="U146" s="41">
        <v>216</v>
      </c>
      <c r="V146" s="42" t="s">
        <v>59</v>
      </c>
      <c r="W146" s="181" t="s">
        <v>2621</v>
      </c>
      <c r="X146" s="22">
        <v>1</v>
      </c>
      <c r="Z146" s="28" t="s">
        <v>57</v>
      </c>
      <c r="AA146" s="22" t="s">
        <v>58</v>
      </c>
      <c r="AB146" s="22" t="s">
        <v>2410</v>
      </c>
      <c r="AC146" s="22" t="s">
        <v>59</v>
      </c>
      <c r="AD146" s="176" t="s">
        <v>2407</v>
      </c>
      <c r="AE146" s="23" t="s">
        <v>2275</v>
      </c>
      <c r="AF146" s="177" t="s">
        <v>1889</v>
      </c>
      <c r="AJ146" s="193" t="s">
        <v>642</v>
      </c>
      <c r="AK146" s="193"/>
      <c r="AL146" s="193"/>
      <c r="AM146" s="193" t="s">
        <v>2408</v>
      </c>
    </row>
    <row r="147" spans="1:39"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I147" s="205" t="str">
        <f>IF(AND(A147&lt;&gt;"",ISNUMBER(A147)),VLOOKUP(A147,Studies!A:BR,6,FALSE),"")</f>
        <v>Plasma</v>
      </c>
      <c r="J147" s="43">
        <v>3.5056179775280896</v>
      </c>
      <c r="K147" s="43" t="s">
        <v>2725</v>
      </c>
      <c r="L147" s="201"/>
      <c r="O147" s="193"/>
      <c r="Q147" s="202"/>
      <c r="R147" s="38">
        <v>0</v>
      </c>
      <c r="S147" s="39" t="s">
        <v>935</v>
      </c>
      <c r="T147" s="40">
        <v>168</v>
      </c>
      <c r="U147" s="41" t="s">
        <v>935</v>
      </c>
      <c r="V147" s="42" t="s">
        <v>59</v>
      </c>
      <c r="W147" s="181" t="s">
        <v>2664</v>
      </c>
      <c r="X147" s="22">
        <v>240</v>
      </c>
      <c r="Z147" s="28" t="s">
        <v>57</v>
      </c>
      <c r="AB147" s="22" t="s">
        <v>2618</v>
      </c>
      <c r="AC147" s="22" t="s">
        <v>59</v>
      </c>
      <c r="AD147" s="176" t="s">
        <v>91</v>
      </c>
      <c r="AE147" s="23" t="s">
        <v>2662</v>
      </c>
      <c r="AF147" s="177" t="s">
        <v>2663</v>
      </c>
    </row>
    <row r="148" spans="1:39" x14ac:dyDescent="0.2">
      <c r="A148" s="181">
        <v>2002</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7d of Rifampicin (between day 1 and 8)</v>
      </c>
      <c r="E148" s="139" t="str">
        <f>IF(AND(A148&lt;&gt;"",ISNUMBER(A148)),VLOOKUP(A148,Studies!A:BR,5,FALSE),"")</f>
        <v>Midazolam</v>
      </c>
      <c r="F148" s="42" t="s">
        <v>53</v>
      </c>
      <c r="G148" s="205" t="str">
        <f>IF(AND(A148&lt;&gt;"",ISNUMBER(A148)),VLOOKUP(A148,Studies!A:BR,13,FALSE),"")</f>
        <v>PO</v>
      </c>
      <c r="H148" s="68" t="s">
        <v>58</v>
      </c>
      <c r="I148" s="205" t="str">
        <f>IF(AND(A148&lt;&gt;"",ISNUMBER(A148)),VLOOKUP(A148,Studies!A:BR,6,FALSE),"")</f>
        <v>Plasma</v>
      </c>
      <c r="J148" s="187">
        <f>1/3.9</f>
        <v>0.25641025641025644</v>
      </c>
      <c r="K148" s="43" t="s">
        <v>993</v>
      </c>
      <c r="L148" s="76" t="str">
        <f>1/4.8&amp;"-"&amp;1/3</f>
        <v>0.208333333333333-0.333333333333333</v>
      </c>
      <c r="M148" s="76" t="s">
        <v>1096</v>
      </c>
      <c r="N148" s="52">
        <f>2.7/7.2</f>
        <v>0.375</v>
      </c>
      <c r="O148" s="193" t="s">
        <v>1100</v>
      </c>
      <c r="R148" s="38">
        <v>0</v>
      </c>
      <c r="S148" s="39">
        <v>6</v>
      </c>
      <c r="T148" s="40">
        <v>156</v>
      </c>
      <c r="U148" s="41">
        <v>162</v>
      </c>
      <c r="V148" s="42" t="s">
        <v>59</v>
      </c>
      <c r="W148" s="181" t="s">
        <v>2675</v>
      </c>
      <c r="X148" s="22">
        <v>300</v>
      </c>
      <c r="Z148" s="28" t="s">
        <v>57</v>
      </c>
      <c r="AA148" s="22" t="s">
        <v>58</v>
      </c>
      <c r="AB148" s="22" t="s">
        <v>2618</v>
      </c>
      <c r="AC148" s="22" t="s">
        <v>59</v>
      </c>
      <c r="AD148" s="176" t="s">
        <v>2676</v>
      </c>
      <c r="AE148" s="23" t="s">
        <v>1141</v>
      </c>
      <c r="AF148" s="177" t="s">
        <v>2945</v>
      </c>
    </row>
    <row r="149" spans="1:39" x14ac:dyDescent="0.2">
      <c r="A149" s="181">
        <v>2003</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7d of Rifampicin (between day 1 and 8)</v>
      </c>
      <c r="E149" s="139" t="str">
        <f>IF(AND(A149&lt;&gt;"",ISNUMBER(A149)),VLOOKUP(A149,Studies!A:BR,5,FALSE),"")</f>
        <v>Midazolam</v>
      </c>
      <c r="F149" s="42" t="s">
        <v>53</v>
      </c>
      <c r="G149" s="205" t="str">
        <f>IF(AND(A149&lt;&gt;"",ISNUMBER(A149)),VLOOKUP(A149,Studies!A:BR,13,FALSE),"")</f>
        <v>PO</v>
      </c>
      <c r="H149" s="68" t="s">
        <v>58</v>
      </c>
      <c r="I149" s="205" t="str">
        <f>IF(AND(A149&lt;&gt;"",ISNUMBER(A149)),VLOOKUP(A149,Studies!A:BR,6,FALSE),"")</f>
        <v>Plasma</v>
      </c>
      <c r="J149" s="43">
        <f>1/5.3</f>
        <v>0.18867924528301888</v>
      </c>
      <c r="K149" s="43" t="s">
        <v>993</v>
      </c>
      <c r="L149" s="76" t="str">
        <f>1/6.4&amp;"-"&amp;1/3.8</f>
        <v>0.15625-0.263157894736842</v>
      </c>
      <c r="M149" s="76" t="s">
        <v>1096</v>
      </c>
      <c r="N149" s="52">
        <f>1.2/5.5</f>
        <v>0.21818181818181817</v>
      </c>
      <c r="O149" s="193" t="s">
        <v>1100</v>
      </c>
      <c r="Q149" s="202"/>
      <c r="R149" s="38">
        <v>0</v>
      </c>
      <c r="S149" s="39">
        <v>6</v>
      </c>
      <c r="T149" s="40">
        <v>156</v>
      </c>
      <c r="U149" s="41">
        <v>162</v>
      </c>
      <c r="V149" s="42" t="s">
        <v>59</v>
      </c>
      <c r="W149" s="181" t="s">
        <v>2677</v>
      </c>
      <c r="X149" s="22">
        <v>300</v>
      </c>
      <c r="Z149" s="28" t="s">
        <v>57</v>
      </c>
      <c r="AA149" s="22" t="s">
        <v>58</v>
      </c>
      <c r="AB149" s="22" t="s">
        <v>2618</v>
      </c>
      <c r="AC149" s="22" t="s">
        <v>59</v>
      </c>
      <c r="AD149" s="176" t="s">
        <v>2676</v>
      </c>
      <c r="AE149" s="23" t="s">
        <v>1141</v>
      </c>
      <c r="AF149" s="177" t="s">
        <v>2945</v>
      </c>
    </row>
    <row r="150" spans="1:39"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205" t="str">
        <f>IF(AND(A150&lt;&gt;"",ISNUMBER(A150)),VLOOKUP(A150,Studies!A:BR,6,FALSE),"")</f>
        <v>Plasma</v>
      </c>
      <c r="J150" s="43">
        <v>1.9</v>
      </c>
      <c r="K150" s="43" t="s">
        <v>993</v>
      </c>
      <c r="L150" s="76" t="s">
        <v>2678</v>
      </c>
      <c r="M150" s="76" t="s">
        <v>1096</v>
      </c>
      <c r="N150" s="52">
        <f>12.6/7.2</f>
        <v>1.75</v>
      </c>
      <c r="O150" s="52" t="s">
        <v>1100</v>
      </c>
      <c r="R150" s="38">
        <v>0</v>
      </c>
      <c r="S150" s="39">
        <v>6</v>
      </c>
      <c r="T150" s="40">
        <v>324</v>
      </c>
      <c r="U150" s="41">
        <v>330</v>
      </c>
      <c r="V150" s="42" t="s">
        <v>59</v>
      </c>
      <c r="W150" s="181" t="s">
        <v>2987</v>
      </c>
      <c r="X150" s="176">
        <v>250</v>
      </c>
      <c r="Y150" s="180"/>
      <c r="Z150" s="180" t="s">
        <v>57</v>
      </c>
      <c r="AA150" s="176"/>
      <c r="AB150" s="22" t="s">
        <v>2997</v>
      </c>
      <c r="AC150" s="176" t="s">
        <v>59</v>
      </c>
      <c r="AD150" s="176" t="s">
        <v>2679</v>
      </c>
      <c r="AE150" s="177" t="s">
        <v>1131</v>
      </c>
      <c r="AF150" s="177" t="s">
        <v>2946</v>
      </c>
      <c r="AG150" s="178"/>
      <c r="AH150" s="177"/>
      <c r="AI150" s="177"/>
    </row>
    <row r="151" spans="1:39"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205" t="str">
        <f>IF(AND(A151&lt;&gt;"",ISNUMBER(A151)),VLOOKUP(A151,Studies!A:BR,6,FALSE),"")</f>
        <v>Plasma</v>
      </c>
      <c r="J151" s="43">
        <v>1.5</v>
      </c>
      <c r="K151" s="43" t="s">
        <v>993</v>
      </c>
      <c r="L151" s="76" t="s">
        <v>2680</v>
      </c>
      <c r="M151" s="76" t="s">
        <v>1096</v>
      </c>
      <c r="N151" s="52">
        <f>8.3/5.5</f>
        <v>1.5090909090909093</v>
      </c>
      <c r="O151" s="52" t="s">
        <v>1100</v>
      </c>
      <c r="R151" s="38">
        <v>0</v>
      </c>
      <c r="S151" s="39">
        <v>6</v>
      </c>
      <c r="T151" s="40">
        <v>324</v>
      </c>
      <c r="U151" s="41">
        <v>330</v>
      </c>
      <c r="V151" s="42" t="s">
        <v>59</v>
      </c>
      <c r="W151" s="181" t="s">
        <v>2988</v>
      </c>
      <c r="X151" s="176">
        <v>250</v>
      </c>
      <c r="Y151" s="180"/>
      <c r="Z151" s="180" t="s">
        <v>57</v>
      </c>
      <c r="AA151" s="176"/>
      <c r="AB151" s="22" t="s">
        <v>2997</v>
      </c>
      <c r="AC151" s="176" t="s">
        <v>59</v>
      </c>
      <c r="AD151" s="176" t="s">
        <v>2679</v>
      </c>
      <c r="AE151" s="177" t="s">
        <v>1131</v>
      </c>
      <c r="AF151" s="177" t="s">
        <v>2946</v>
      </c>
      <c r="AG151" s="178"/>
      <c r="AH151" s="177"/>
      <c r="AI151" s="177"/>
    </row>
    <row r="152" spans="1:39"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205" t="str">
        <f>IF(AND(A152&lt;&gt;"",ISNUMBER(A152)),VLOOKUP(A152,Studies!A:BR,6,FALSE),"")</f>
        <v>Plasma</v>
      </c>
      <c r="J152" s="43">
        <f>0.0081/0.0054</f>
        <v>1.4999999999999998</v>
      </c>
      <c r="K152" s="43" t="s">
        <v>1099</v>
      </c>
      <c r="R152" s="38">
        <v>0</v>
      </c>
      <c r="S152" s="39" t="s">
        <v>935</v>
      </c>
      <c r="T152" s="40">
        <f>(349+685)/2</f>
        <v>517</v>
      </c>
      <c r="U152" s="41" t="s">
        <v>935</v>
      </c>
      <c r="V152" s="42" t="s">
        <v>59</v>
      </c>
      <c r="W152" s="181" t="s">
        <v>2883</v>
      </c>
      <c r="X152" s="22" t="s">
        <v>2617</v>
      </c>
      <c r="Z152" s="28" t="s">
        <v>57</v>
      </c>
      <c r="AA152" s="22" t="s">
        <v>58</v>
      </c>
      <c r="AB152" s="22" t="s">
        <v>2681</v>
      </c>
      <c r="AC152" s="22" t="s">
        <v>59</v>
      </c>
      <c r="AD152" s="176" t="s">
        <v>2984</v>
      </c>
      <c r="AE152" s="23" t="s">
        <v>2630</v>
      </c>
      <c r="AF152" s="177" t="s">
        <v>2682</v>
      </c>
    </row>
    <row r="153" spans="1:39"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205" t="str">
        <f>IF(AND(A153&lt;&gt;"",ISNUMBER(A153)),VLOOKUP(A153,Studies!A:BR,6,FALSE),"")</f>
        <v>Plasma</v>
      </c>
      <c r="J153" s="43">
        <v>0.1793478</v>
      </c>
      <c r="K153" s="43" t="s">
        <v>1099</v>
      </c>
      <c r="O153" s="193"/>
      <c r="R153" s="38">
        <v>0</v>
      </c>
      <c r="S153" s="39" t="s">
        <v>935</v>
      </c>
      <c r="T153" s="40">
        <v>100</v>
      </c>
      <c r="U153" s="41">
        <v>436</v>
      </c>
      <c r="V153" s="42" t="s">
        <v>59</v>
      </c>
      <c r="W153" s="181" t="s">
        <v>2826</v>
      </c>
      <c r="X153" s="22">
        <v>450</v>
      </c>
      <c r="Z153" s="28" t="s">
        <v>57</v>
      </c>
      <c r="AA153" s="22" t="s">
        <v>58</v>
      </c>
      <c r="AB153" s="22" t="s">
        <v>2668</v>
      </c>
      <c r="AC153" s="22" t="s">
        <v>59</v>
      </c>
      <c r="AD153" s="176" t="s">
        <v>2636</v>
      </c>
      <c r="AF153" s="177" t="s">
        <v>2947</v>
      </c>
    </row>
    <row r="154" spans="1:39"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205" t="str">
        <f>IF(AND(A154&lt;&gt;"",ISNUMBER(A154)),VLOOKUP(A154,Studies!A:BR,6,FALSE),"")</f>
        <v>Plasma</v>
      </c>
      <c r="J154" s="43">
        <v>0.91666669999999995</v>
      </c>
      <c r="K154" s="187" t="s">
        <v>1099</v>
      </c>
      <c r="O154" s="193"/>
      <c r="R154" s="38">
        <v>0</v>
      </c>
      <c r="S154" s="39" t="s">
        <v>935</v>
      </c>
      <c r="T154" s="184">
        <v>436</v>
      </c>
      <c r="U154" s="41" t="s">
        <v>935</v>
      </c>
      <c r="V154" s="42" t="s">
        <v>59</v>
      </c>
      <c r="W154" s="181" t="s">
        <v>2826</v>
      </c>
      <c r="X154" s="22">
        <v>450</v>
      </c>
      <c r="Z154" s="28" t="s">
        <v>57</v>
      </c>
      <c r="AA154" s="22" t="s">
        <v>58</v>
      </c>
      <c r="AB154" s="176" t="s">
        <v>2668</v>
      </c>
      <c r="AC154" s="22" t="s">
        <v>59</v>
      </c>
      <c r="AD154" s="176" t="s">
        <v>2636</v>
      </c>
      <c r="AF154" s="177" t="s">
        <v>2947</v>
      </c>
    </row>
    <row r="155" spans="1:39"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205" t="str">
        <f>IF(AND(A155&lt;&gt;"",ISNUMBER(A155)),VLOOKUP(A155,Studies!A:BR,6,FALSE),"")</f>
        <v>Plasma</v>
      </c>
      <c r="J155" s="43">
        <v>1.4905660377358492</v>
      </c>
      <c r="K155" s="187" t="s">
        <v>2725</v>
      </c>
      <c r="O155" s="193"/>
      <c r="R155" s="38">
        <v>0</v>
      </c>
      <c r="S155" s="39" t="s">
        <v>935</v>
      </c>
      <c r="T155" s="184">
        <v>336</v>
      </c>
      <c r="U155" s="41" t="s">
        <v>935</v>
      </c>
      <c r="V155" s="42" t="s">
        <v>59</v>
      </c>
      <c r="W155" s="181" t="s">
        <v>2661</v>
      </c>
      <c r="X155" s="22" t="s">
        <v>2617</v>
      </c>
      <c r="Z155" s="28" t="s">
        <v>57</v>
      </c>
      <c r="AA155" s="22" t="s">
        <v>58</v>
      </c>
      <c r="AB155" s="176" t="s">
        <v>2681</v>
      </c>
      <c r="AC155" s="22" t="s">
        <v>59</v>
      </c>
      <c r="AD155" s="176" t="s">
        <v>2984</v>
      </c>
      <c r="AE155" s="23" t="s">
        <v>2630</v>
      </c>
      <c r="AF155" s="177" t="s">
        <v>2682</v>
      </c>
    </row>
    <row r="156" spans="1:39"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205" t="str">
        <f>IF(AND(A156&lt;&gt;"",ISNUMBER(A156)),VLOOKUP(A156,Studies!A:BR,6,FALSE),"")</f>
        <v>Plasma</v>
      </c>
      <c r="J156" s="43">
        <v>1.6170212765957446</v>
      </c>
      <c r="K156" s="187" t="s">
        <v>2725</v>
      </c>
      <c r="O156" s="193"/>
      <c r="R156" s="38">
        <v>0</v>
      </c>
      <c r="S156" s="39" t="s">
        <v>935</v>
      </c>
      <c r="T156" s="184">
        <v>336</v>
      </c>
      <c r="U156" s="41" t="s">
        <v>935</v>
      </c>
      <c r="V156" s="42" t="s">
        <v>59</v>
      </c>
      <c r="W156" s="181" t="s">
        <v>2661</v>
      </c>
      <c r="X156" s="22" t="s">
        <v>2617</v>
      </c>
      <c r="Y156" s="180"/>
      <c r="Z156" s="180" t="s">
        <v>57</v>
      </c>
      <c r="AA156" s="176" t="s">
        <v>58</v>
      </c>
      <c r="AB156" s="176" t="s">
        <v>2681</v>
      </c>
      <c r="AC156" s="176" t="s">
        <v>59</v>
      </c>
      <c r="AD156" s="176" t="s">
        <v>2984</v>
      </c>
      <c r="AE156" s="177" t="s">
        <v>2630</v>
      </c>
      <c r="AF156" s="177" t="s">
        <v>2682</v>
      </c>
      <c r="AG156" s="178"/>
      <c r="AH156" s="177"/>
      <c r="AI156" s="177"/>
    </row>
    <row r="157" spans="1:39"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205" t="str">
        <f>IF(AND(A157&lt;&gt;"",ISNUMBER(A157)),VLOOKUP(A157,Studies!A:BR,6,FALSE),"")</f>
        <v>Plasma</v>
      </c>
      <c r="J157" s="43">
        <v>1.3728813559322033</v>
      </c>
      <c r="K157" s="187" t="s">
        <v>2725</v>
      </c>
      <c r="O157" s="193"/>
      <c r="R157" s="38">
        <v>0</v>
      </c>
      <c r="S157" s="39" t="s">
        <v>935</v>
      </c>
      <c r="T157" s="184">
        <v>336</v>
      </c>
      <c r="U157" s="41" t="s">
        <v>935</v>
      </c>
      <c r="V157" s="42" t="s">
        <v>59</v>
      </c>
      <c r="W157" s="181" t="s">
        <v>2661</v>
      </c>
      <c r="X157" s="22" t="s">
        <v>2617</v>
      </c>
      <c r="Y157" s="180"/>
      <c r="Z157" s="180" t="s">
        <v>57</v>
      </c>
      <c r="AA157" s="176" t="s">
        <v>58</v>
      </c>
      <c r="AB157" s="176" t="s">
        <v>2681</v>
      </c>
      <c r="AC157" s="176" t="s">
        <v>59</v>
      </c>
      <c r="AD157" s="176" t="s">
        <v>2984</v>
      </c>
      <c r="AE157" s="177" t="s">
        <v>2630</v>
      </c>
      <c r="AF157" s="177" t="s">
        <v>2682</v>
      </c>
      <c r="AG157" s="178"/>
      <c r="AH157" s="177"/>
      <c r="AI157" s="177"/>
    </row>
    <row r="158" spans="1:39"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205" t="str">
        <f>IF(AND(A158&lt;&gt;"",ISNUMBER(A158)),VLOOKUP(A158,Studies!A:BR,6,FALSE),"")</f>
        <v>Plasma</v>
      </c>
      <c r="K158" s="187"/>
      <c r="O158" s="193"/>
      <c r="R158" s="38" t="s">
        <v>2573</v>
      </c>
      <c r="S158" s="39" t="s">
        <v>935</v>
      </c>
      <c r="T158" s="184" t="s">
        <v>2573</v>
      </c>
      <c r="U158" s="41" t="s">
        <v>935</v>
      </c>
      <c r="V158" s="42" t="s">
        <v>59</v>
      </c>
      <c r="X158" s="22" t="s">
        <v>2683</v>
      </c>
      <c r="Z158" s="28" t="s">
        <v>57</v>
      </c>
      <c r="AA158" s="22" t="s">
        <v>58</v>
      </c>
      <c r="AB158" s="176" t="s">
        <v>2485</v>
      </c>
      <c r="AC158" s="22" t="s">
        <v>59</v>
      </c>
      <c r="AD158" s="176" t="s">
        <v>2950</v>
      </c>
      <c r="AE158" s="23" t="s">
        <v>2630</v>
      </c>
      <c r="AF158" s="177" t="s">
        <v>2667</v>
      </c>
    </row>
    <row r="159" spans="1:39"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205" t="str">
        <f>IF(AND(A159&lt;&gt;"",ISNUMBER(A159)),VLOOKUP(A159,Studies!A:BR,6,FALSE),"")</f>
        <v>Whole Blood</v>
      </c>
      <c r="J159" s="43">
        <v>3.6</v>
      </c>
      <c r="K159" s="43" t="s">
        <v>2689</v>
      </c>
      <c r="L159" s="76" t="s">
        <v>2669</v>
      </c>
      <c r="M159" s="76" t="s">
        <v>1096</v>
      </c>
      <c r="N159" s="52">
        <f>70/58</f>
        <v>1.2068965517241379</v>
      </c>
      <c r="O159" s="52" t="s">
        <v>1100</v>
      </c>
      <c r="R159" s="38">
        <v>0</v>
      </c>
      <c r="S159" s="39" t="s">
        <v>935</v>
      </c>
      <c r="T159" s="184">
        <v>146</v>
      </c>
      <c r="U159" s="41" t="s">
        <v>935</v>
      </c>
      <c r="V159" s="42" t="s">
        <v>59</v>
      </c>
      <c r="X159" s="22">
        <v>500</v>
      </c>
      <c r="Z159" s="28" t="s">
        <v>57</v>
      </c>
      <c r="AA159" s="22" t="s">
        <v>58</v>
      </c>
      <c r="AB159" s="176" t="s">
        <v>2882</v>
      </c>
      <c r="AC159" s="22" t="s">
        <v>59</v>
      </c>
      <c r="AD159" s="176" t="s">
        <v>2511</v>
      </c>
      <c r="AE159" s="23" t="s">
        <v>1131</v>
      </c>
    </row>
    <row r="160" spans="1:39"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205" t="str">
        <f>IF(AND(A160&lt;&gt;"",ISNUMBER(A160)),VLOOKUP(A160,Studies!A:BR,6,FALSE),"")</f>
        <v>Whole Blood</v>
      </c>
      <c r="J160" s="43">
        <v>2.9</v>
      </c>
      <c r="K160" s="43" t="s">
        <v>2689</v>
      </c>
      <c r="L160" s="76" t="s">
        <v>2670</v>
      </c>
      <c r="M160" s="76" t="s">
        <v>1096</v>
      </c>
      <c r="N160" s="52">
        <f>66/59</f>
        <v>1.1186440677966101</v>
      </c>
      <c r="O160" s="52" t="s">
        <v>1100</v>
      </c>
      <c r="R160" s="38">
        <v>0</v>
      </c>
      <c r="S160" s="39" t="s">
        <v>935</v>
      </c>
      <c r="T160" s="184">
        <v>146</v>
      </c>
      <c r="U160" s="41" t="s">
        <v>935</v>
      </c>
      <c r="V160" s="42" t="s">
        <v>59</v>
      </c>
      <c r="X160" s="22">
        <v>500</v>
      </c>
      <c r="Y160" s="180"/>
      <c r="Z160" s="180" t="s">
        <v>57</v>
      </c>
      <c r="AA160" s="22" t="s">
        <v>58</v>
      </c>
      <c r="AB160" s="176" t="s">
        <v>2882</v>
      </c>
      <c r="AC160" s="176" t="s">
        <v>59</v>
      </c>
      <c r="AD160" s="176" t="s">
        <v>2511</v>
      </c>
      <c r="AE160" s="177" t="s">
        <v>1131</v>
      </c>
      <c r="AH160" s="177"/>
      <c r="AI160" s="177"/>
    </row>
    <row r="161" spans="1:35"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205" t="str">
        <f>IF(AND(A161&lt;&gt;"",ISNUMBER(A161)),VLOOKUP(A161,Studies!A:BR,6,FALSE),"")</f>
        <v>Whole Blood</v>
      </c>
      <c r="J161" s="43">
        <v>3.2</v>
      </c>
      <c r="K161" s="43" t="s">
        <v>2689</v>
      </c>
      <c r="L161" s="76" t="s">
        <v>2671</v>
      </c>
      <c r="M161" s="76" t="s">
        <v>1096</v>
      </c>
      <c r="N161" s="52">
        <f>68/58</f>
        <v>1.1724137931034482</v>
      </c>
      <c r="O161" s="52" t="s">
        <v>1100</v>
      </c>
      <c r="R161" s="38">
        <v>0</v>
      </c>
      <c r="S161" s="39" t="s">
        <v>935</v>
      </c>
      <c r="T161" s="184">
        <v>146</v>
      </c>
      <c r="U161" s="41" t="s">
        <v>935</v>
      </c>
      <c r="V161" s="42" t="s">
        <v>59</v>
      </c>
      <c r="X161" s="22">
        <v>500</v>
      </c>
      <c r="Y161" s="180"/>
      <c r="Z161" s="180" t="s">
        <v>57</v>
      </c>
      <c r="AA161" s="22" t="s">
        <v>58</v>
      </c>
      <c r="AB161" s="176" t="s">
        <v>2882</v>
      </c>
      <c r="AC161" s="176" t="s">
        <v>59</v>
      </c>
      <c r="AD161" s="176" t="s">
        <v>2511</v>
      </c>
      <c r="AE161" s="177" t="s">
        <v>1131</v>
      </c>
      <c r="AH161" s="177"/>
      <c r="AI161" s="177"/>
    </row>
    <row r="162" spans="1:35"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205" t="str">
        <f>IF(AND(A162&lt;&gt;"",ISNUMBER(A162)),VLOOKUP(A162,Studies!A:BR,6,FALSE),"")</f>
        <v>Whole Blood</v>
      </c>
      <c r="J162" s="43">
        <v>8.1999999999999993</v>
      </c>
      <c r="K162" s="43" t="s">
        <v>2689</v>
      </c>
      <c r="L162" s="76" t="s">
        <v>2672</v>
      </c>
      <c r="M162" s="76" t="s">
        <v>1096</v>
      </c>
      <c r="N162" s="52">
        <f>34/12</f>
        <v>2.8333333333333335</v>
      </c>
      <c r="O162" s="52" t="s">
        <v>1100</v>
      </c>
      <c r="R162" s="38">
        <v>0</v>
      </c>
      <c r="S162" s="39" t="s">
        <v>935</v>
      </c>
      <c r="T162" s="184">
        <v>146</v>
      </c>
      <c r="U162" s="41" t="s">
        <v>935</v>
      </c>
      <c r="V162" s="42" t="s">
        <v>59</v>
      </c>
      <c r="X162" s="22">
        <v>500</v>
      </c>
      <c r="Y162" s="137"/>
      <c r="Z162" s="137" t="s">
        <v>57</v>
      </c>
      <c r="AA162" s="22" t="s">
        <v>58</v>
      </c>
      <c r="AB162" s="176" t="s">
        <v>2882</v>
      </c>
      <c r="AC162" s="136" t="s">
        <v>59</v>
      </c>
      <c r="AD162" s="176" t="s">
        <v>2511</v>
      </c>
      <c r="AE162" s="174" t="s">
        <v>1131</v>
      </c>
      <c r="AH162" s="178"/>
      <c r="AI162" s="178"/>
    </row>
    <row r="163" spans="1:35"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205" t="str">
        <f>IF(AND(A163&lt;&gt;"",ISNUMBER(A163)),VLOOKUP(A163,Studies!A:BR,6,FALSE),"")</f>
        <v>Whole Blood</v>
      </c>
      <c r="J163" s="43">
        <v>7.7</v>
      </c>
      <c r="K163" s="43" t="s">
        <v>2689</v>
      </c>
      <c r="L163" s="76" t="s">
        <v>2673</v>
      </c>
      <c r="M163" s="76" t="s">
        <v>1096</v>
      </c>
      <c r="N163" s="52">
        <f>31/12</f>
        <v>2.5833333333333335</v>
      </c>
      <c r="O163" s="52" t="s">
        <v>1100</v>
      </c>
      <c r="R163" s="38">
        <v>0</v>
      </c>
      <c r="S163" s="39" t="s">
        <v>935</v>
      </c>
      <c r="T163" s="40">
        <v>146</v>
      </c>
      <c r="U163" s="41" t="s">
        <v>935</v>
      </c>
      <c r="V163" s="42" t="s">
        <v>59</v>
      </c>
      <c r="X163" s="22">
        <v>500</v>
      </c>
      <c r="Y163" s="137"/>
      <c r="Z163" s="137" t="s">
        <v>57</v>
      </c>
      <c r="AA163" s="22" t="s">
        <v>58</v>
      </c>
      <c r="AB163" s="22" t="s">
        <v>2882</v>
      </c>
      <c r="AC163" s="136" t="s">
        <v>59</v>
      </c>
      <c r="AD163" s="176" t="s">
        <v>2511</v>
      </c>
      <c r="AE163" s="174" t="s">
        <v>1131</v>
      </c>
      <c r="AH163" s="178"/>
      <c r="AI163" s="178"/>
    </row>
    <row r="164" spans="1:35"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205" t="str">
        <f>IF(AND(A164&lt;&gt;"",ISNUMBER(A164)),VLOOKUP(A164,Studies!A:BR,6,FALSE),"")</f>
        <v>Whole Blood</v>
      </c>
      <c r="J164" s="43">
        <v>8</v>
      </c>
      <c r="K164" s="43" t="s">
        <v>2689</v>
      </c>
      <c r="L164" s="76" t="s">
        <v>2674</v>
      </c>
      <c r="M164" s="76" t="s">
        <v>1096</v>
      </c>
      <c r="N164" s="52">
        <f>33/12</f>
        <v>2.75</v>
      </c>
      <c r="O164" s="52" t="s">
        <v>1100</v>
      </c>
      <c r="R164" s="38">
        <v>0</v>
      </c>
      <c r="S164" s="39" t="s">
        <v>935</v>
      </c>
      <c r="T164" s="40">
        <v>146</v>
      </c>
      <c r="U164" s="41" t="s">
        <v>935</v>
      </c>
      <c r="V164" s="42" t="s">
        <v>59</v>
      </c>
      <c r="X164" s="22">
        <v>500</v>
      </c>
      <c r="Z164" s="28" t="s">
        <v>57</v>
      </c>
      <c r="AA164" s="22" t="s">
        <v>58</v>
      </c>
      <c r="AB164" s="22" t="s">
        <v>2882</v>
      </c>
      <c r="AC164" s="22" t="s">
        <v>59</v>
      </c>
      <c r="AD164" s="176" t="s">
        <v>2511</v>
      </c>
      <c r="AE164" s="23" t="s">
        <v>1131</v>
      </c>
    </row>
    <row r="165" spans="1:35"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205" t="str">
        <f>IF(AND(A165&lt;&gt;"",ISNUMBER(A165)),VLOOKUP(A165,Studies!A:BR,6,FALSE),"")</f>
        <v>Plasma</v>
      </c>
      <c r="J165" s="43">
        <v>2.89</v>
      </c>
      <c r="K165" s="43" t="s">
        <v>2631</v>
      </c>
      <c r="L165" s="76" t="s">
        <v>2649</v>
      </c>
      <c r="M165" s="76" t="s">
        <v>1156</v>
      </c>
      <c r="R165" s="38">
        <v>0</v>
      </c>
      <c r="S165" s="39" t="s">
        <v>935</v>
      </c>
      <c r="T165" s="40">
        <v>72</v>
      </c>
      <c r="U165" s="41" t="s">
        <v>935</v>
      </c>
      <c r="V165" s="42" t="s">
        <v>59</v>
      </c>
      <c r="X165" s="176">
        <v>400</v>
      </c>
      <c r="Y165" s="180"/>
      <c r="Z165" s="180" t="s">
        <v>57</v>
      </c>
      <c r="AA165" s="176" t="s">
        <v>58</v>
      </c>
      <c r="AB165" s="176" t="s">
        <v>2288</v>
      </c>
      <c r="AC165" s="176" t="s">
        <v>59</v>
      </c>
      <c r="AD165" s="176" t="s">
        <v>2651</v>
      </c>
      <c r="AE165" s="23" t="s">
        <v>834</v>
      </c>
      <c r="AF165" s="177" t="s">
        <v>2667</v>
      </c>
    </row>
    <row r="166" spans="1:35" x14ac:dyDescent="0.2">
      <c r="A166" s="30">
        <v>2036</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f>0.46*2.5</f>
        <v>1.1500000000000001</v>
      </c>
      <c r="K166" s="43" t="s">
        <v>2631</v>
      </c>
      <c r="L166" s="76" t="str">
        <f>0.41*2.5&amp;" - "&amp;2.5*0.51</f>
        <v>1.025 - 1.275</v>
      </c>
      <c r="M166" s="76" t="s">
        <v>1156</v>
      </c>
      <c r="R166" s="38">
        <v>0</v>
      </c>
      <c r="S166" s="39" t="s">
        <v>935</v>
      </c>
      <c r="T166" s="40">
        <v>216</v>
      </c>
      <c r="U166" s="41" t="s">
        <v>935</v>
      </c>
      <c r="V166" s="42" t="s">
        <v>59</v>
      </c>
      <c r="W166" s="181" t="s">
        <v>2991</v>
      </c>
      <c r="X166" s="176">
        <v>600</v>
      </c>
      <c r="Y166" s="180"/>
      <c r="Z166" s="180" t="s">
        <v>57</v>
      </c>
      <c r="AA166" s="176" t="s">
        <v>58</v>
      </c>
      <c r="AB166" s="176" t="s">
        <v>2622</v>
      </c>
      <c r="AC166" s="176" t="s">
        <v>59</v>
      </c>
      <c r="AD166" s="176" t="s">
        <v>2655</v>
      </c>
      <c r="AE166" s="23" t="s">
        <v>1141</v>
      </c>
      <c r="AF166" s="177" t="s">
        <v>2667</v>
      </c>
    </row>
    <row r="167" spans="1:35"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205" t="str">
        <f>IF(AND(A167&lt;&gt;"",ISNUMBER(A167)),VLOOKUP(A167,Studies!A:BR,6,FALSE),"")</f>
        <v>Plasma</v>
      </c>
      <c r="J167" s="43">
        <v>4.7699999999999996</v>
      </c>
      <c r="K167" s="43" t="s">
        <v>2631</v>
      </c>
      <c r="L167" s="76" t="s">
        <v>2658</v>
      </c>
      <c r="M167" s="76" t="s">
        <v>1156</v>
      </c>
      <c r="R167" s="38">
        <v>0</v>
      </c>
      <c r="S167" s="39" t="s">
        <v>935</v>
      </c>
      <c r="T167" s="40">
        <v>72</v>
      </c>
      <c r="U167" s="41" t="s">
        <v>935</v>
      </c>
      <c r="V167" s="42" t="s">
        <v>59</v>
      </c>
      <c r="X167" s="176">
        <v>400</v>
      </c>
      <c r="Y167" s="180"/>
      <c r="Z167" s="180" t="s">
        <v>57</v>
      </c>
      <c r="AA167" s="176" t="s">
        <v>58</v>
      </c>
      <c r="AB167" s="176" t="s">
        <v>2288</v>
      </c>
      <c r="AC167" s="176" t="s">
        <v>59</v>
      </c>
      <c r="AD167" s="176" t="s">
        <v>2651</v>
      </c>
      <c r="AE167" s="23" t="s">
        <v>834</v>
      </c>
      <c r="AF167" s="177" t="s">
        <v>2667</v>
      </c>
    </row>
    <row r="168" spans="1:35" x14ac:dyDescent="0.2">
      <c r="A168" s="30">
        <v>2039</v>
      </c>
      <c r="B168" s="204" t="str">
        <f>IF(AND(A168&lt;&gt;"",ISNUMBER(A168)),VLOOKUP(A168,Studies!A:BR,2,FALSE),"")</f>
        <v>Kim 2018</v>
      </c>
      <c r="C168" s="204" t="str">
        <f>IF(AND(A168&lt;&gt;"",ISNUMBER(A168)),VLOOKUP(A168,Studies!A:BR,3,FALSE),"")</f>
        <v>https://www.ncbi.nlm.nih.gov/pubmed/28877336</v>
      </c>
      <c r="D168" s="204" t="str">
        <f>IF(AND(A168&lt;&gt;"",ISNUMBER(A168)),VLOOKUP(A168,Studies!A:BR,4,FALSE),"")</f>
        <v>Midazolam + Rifampicin Female</v>
      </c>
      <c r="E168" s="139" t="str">
        <f>IF(AND(A168&lt;&gt;"",ISNUMBER(A168)),VLOOKUP(A168,Studies!A:BR,5,FALSE),"")</f>
        <v>Midazolam</v>
      </c>
      <c r="F168" s="42" t="s">
        <v>53</v>
      </c>
      <c r="G168" s="205" t="str">
        <f>IF(AND(A168&lt;&gt;"",ISNUMBER(A168)),VLOOKUP(A168,Studies!A:BR,13,FALSE),"")</f>
        <v>IV</v>
      </c>
      <c r="H168" s="68" t="s">
        <v>58</v>
      </c>
      <c r="I168" s="205" t="str">
        <f>IF(AND(A168&lt;&gt;"",ISNUMBER(A168)),VLOOKUP(A168,Studies!A:BR,6,FALSE),"")</f>
        <v>Plasma</v>
      </c>
      <c r="J168" s="187">
        <f>0.49*2.5</f>
        <v>1.2250000000000001</v>
      </c>
      <c r="K168" s="43" t="s">
        <v>2631</v>
      </c>
      <c r="L168" s="76" t="str">
        <f>2.5*0.46&amp;" - "&amp;0.53*2.5</f>
        <v>1.15 - 1.325</v>
      </c>
      <c r="M168" s="76" t="s">
        <v>1156</v>
      </c>
      <c r="R168" s="38">
        <v>0</v>
      </c>
      <c r="S168" s="39" t="s">
        <v>935</v>
      </c>
      <c r="T168" s="40">
        <v>216</v>
      </c>
      <c r="U168" s="41" t="s">
        <v>935</v>
      </c>
      <c r="V168" s="42" t="s">
        <v>59</v>
      </c>
      <c r="W168" s="181" t="s">
        <v>2991</v>
      </c>
      <c r="X168" s="22">
        <v>600</v>
      </c>
      <c r="Z168" s="28" t="s">
        <v>57</v>
      </c>
      <c r="AA168" s="22" t="s">
        <v>58</v>
      </c>
      <c r="AB168" s="22" t="s">
        <v>2622</v>
      </c>
      <c r="AC168" s="22" t="s">
        <v>59</v>
      </c>
      <c r="AD168" s="176" t="s">
        <v>2655</v>
      </c>
      <c r="AE168" s="23" t="s">
        <v>1141</v>
      </c>
      <c r="AF168" s="177" t="s">
        <v>2667</v>
      </c>
    </row>
    <row r="169" spans="1:35"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2185</v>
      </c>
      <c r="G169" s="205" t="str">
        <f>IF(AND(A169&lt;&gt;"",ISNUMBER(A169)),VLOOKUP(A169,Studies!A:BR,13,FALSE),"")</f>
        <v>PO</v>
      </c>
      <c r="H169" s="68" t="s">
        <v>58</v>
      </c>
      <c r="I169" s="205" t="str">
        <f>IF(AND(A169&lt;&gt;"",ISNUMBER(A169)),VLOOKUP(A169,Studies!A:BR,6,FALSE),"")</f>
        <v>Plasma</v>
      </c>
      <c r="J169" s="187">
        <v>0.5905511</v>
      </c>
      <c r="K169" s="43" t="s">
        <v>2139</v>
      </c>
      <c r="R169" s="38">
        <v>0</v>
      </c>
      <c r="S169" s="39">
        <v>6</v>
      </c>
      <c r="T169" s="40">
        <v>12</v>
      </c>
      <c r="U169" s="41">
        <v>18</v>
      </c>
      <c r="V169" s="42" t="s">
        <v>59</v>
      </c>
      <c r="X169" s="22">
        <v>400</v>
      </c>
      <c r="Z169" s="28" t="s">
        <v>57</v>
      </c>
      <c r="AA169" s="22" t="s">
        <v>58</v>
      </c>
      <c r="AB169" s="22">
        <v>0</v>
      </c>
      <c r="AC169" s="22" t="s">
        <v>59</v>
      </c>
    </row>
    <row r="170" spans="1:35"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2185</v>
      </c>
      <c r="G170" s="205" t="str">
        <f>IF(AND(A170&lt;&gt;"",ISNUMBER(A170)),VLOOKUP(A170,Studies!A:BR,13,FALSE),"")</f>
        <v>IV</v>
      </c>
      <c r="H170" s="68" t="s">
        <v>58</v>
      </c>
      <c r="I170" s="205" t="str">
        <f>IF(AND(A170&lt;&gt;"",ISNUMBER(A170)),VLOOKUP(A170,Studies!A:BR,6,FALSE),"")</f>
        <v>Plasma</v>
      </c>
      <c r="J170" s="43">
        <v>0.78537734999999997</v>
      </c>
      <c r="K170" s="43" t="s">
        <v>2139</v>
      </c>
      <c r="R170" s="38">
        <v>6</v>
      </c>
      <c r="S170" s="39">
        <v>14</v>
      </c>
      <c r="T170" s="40">
        <v>18</v>
      </c>
      <c r="U170" s="41">
        <v>26</v>
      </c>
      <c r="V170" s="42" t="s">
        <v>59</v>
      </c>
      <c r="X170" s="22">
        <v>400</v>
      </c>
      <c r="Z170" s="28" t="s">
        <v>57</v>
      </c>
      <c r="AA170" s="22" t="s">
        <v>58</v>
      </c>
    </row>
    <row r="171" spans="1:35"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2185</v>
      </c>
      <c r="G171" s="205" t="str">
        <f>IF(AND(A171&lt;&gt;"",ISNUMBER(A171)),VLOOKUP(A171,Studies!A:BR,13,FALSE),"")</f>
        <v>PO</v>
      </c>
      <c r="H171" s="68" t="s">
        <v>58</v>
      </c>
      <c r="I171" s="205" t="str">
        <f>IF(AND(A171&lt;&gt;"",ISNUMBER(A171)),VLOOKUP(A171,Studies!A:BR,6,FALSE),"")</f>
        <v>Plasma</v>
      </c>
      <c r="J171" s="43">
        <v>0.61417319999999997</v>
      </c>
      <c r="K171" s="43" t="s">
        <v>2139</v>
      </c>
      <c r="R171" s="38">
        <v>0</v>
      </c>
      <c r="S171" s="39">
        <v>6</v>
      </c>
      <c r="T171" s="40">
        <v>132</v>
      </c>
      <c r="U171" s="41">
        <v>138</v>
      </c>
      <c r="V171" s="42" t="s">
        <v>59</v>
      </c>
      <c r="X171" s="22">
        <v>400</v>
      </c>
      <c r="Z171" s="28" t="s">
        <v>57</v>
      </c>
      <c r="AA171" s="22" t="s">
        <v>58</v>
      </c>
    </row>
    <row r="172" spans="1:35"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2185</v>
      </c>
      <c r="G172" s="205" t="str">
        <f>IF(AND(A172&lt;&gt;"",ISNUMBER(A172)),VLOOKUP(A172,Studies!A:BR,13,FALSE),"")</f>
        <v>IV</v>
      </c>
      <c r="H172" s="68" t="s">
        <v>58</v>
      </c>
      <c r="I172" s="205" t="str">
        <f>IF(AND(A172&lt;&gt;"",ISNUMBER(A172)),VLOOKUP(A172,Studies!A:BR,6,FALSE),"")</f>
        <v>Plasma</v>
      </c>
      <c r="J172" s="43">
        <v>0.7771226</v>
      </c>
      <c r="K172" s="43" t="s">
        <v>2139</v>
      </c>
      <c r="R172" s="38">
        <v>6</v>
      </c>
      <c r="S172" s="39">
        <v>14</v>
      </c>
      <c r="T172" s="40">
        <v>138</v>
      </c>
      <c r="U172" s="41">
        <v>146</v>
      </c>
      <c r="V172" s="42" t="s">
        <v>59</v>
      </c>
      <c r="X172" s="22">
        <v>400</v>
      </c>
      <c r="Z172" s="28" t="s">
        <v>57</v>
      </c>
      <c r="AA172" s="22" t="s">
        <v>58</v>
      </c>
    </row>
    <row r="173" spans="1:35"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2185</v>
      </c>
      <c r="G173" s="205" t="str">
        <f>IF(AND(A173&lt;&gt;"",ISNUMBER(A173)),VLOOKUP(A173,Studies!A:BR,13,FALSE),"")</f>
        <v>PO</v>
      </c>
      <c r="H173" s="68" t="s">
        <v>58</v>
      </c>
      <c r="I173" s="205" t="str">
        <f>IF(AND(A173&lt;&gt;"",ISNUMBER(A173)),VLOOKUP(A173,Studies!A:BR,6,FALSE),"")</f>
        <v>Plasma</v>
      </c>
      <c r="J173" s="43">
        <v>0.76968499999999995</v>
      </c>
      <c r="K173" s="43" t="s">
        <v>2139</v>
      </c>
      <c r="R173" s="38">
        <v>0</v>
      </c>
      <c r="S173" s="39">
        <v>6</v>
      </c>
      <c r="T173" s="40">
        <v>252</v>
      </c>
      <c r="U173" s="41">
        <v>258</v>
      </c>
      <c r="V173" s="42" t="s">
        <v>59</v>
      </c>
      <c r="X173" s="22">
        <v>400</v>
      </c>
      <c r="Z173" s="28" t="s">
        <v>57</v>
      </c>
      <c r="AA173" s="22" t="s">
        <v>58</v>
      </c>
    </row>
    <row r="174" spans="1:35"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2185</v>
      </c>
      <c r="G174" s="205" t="str">
        <f>IF(AND(A174&lt;&gt;"",ISNUMBER(A174)),VLOOKUP(A174,Studies!A:BR,13,FALSE),"")</f>
        <v>IV</v>
      </c>
      <c r="H174" s="68" t="s">
        <v>58</v>
      </c>
      <c r="I174" s="205" t="str">
        <f>IF(AND(A174&lt;&gt;"",ISNUMBER(A174)),VLOOKUP(A174,Studies!A:BR,6,FALSE),"")</f>
        <v>Plasma</v>
      </c>
      <c r="J174" s="43">
        <v>0.9375</v>
      </c>
      <c r="K174" s="43" t="s">
        <v>2139</v>
      </c>
      <c r="R174" s="38">
        <v>6</v>
      </c>
      <c r="S174" s="39">
        <v>14</v>
      </c>
      <c r="T174" s="40">
        <v>258</v>
      </c>
      <c r="U174" s="41">
        <v>266</v>
      </c>
      <c r="V174" s="42" t="s">
        <v>59</v>
      </c>
      <c r="X174" s="22">
        <v>400</v>
      </c>
      <c r="Z174" s="28" t="s">
        <v>57</v>
      </c>
      <c r="AA174" s="22" t="s">
        <v>58</v>
      </c>
    </row>
    <row r="175" spans="1:35"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2185</v>
      </c>
      <c r="G175" s="205" t="str">
        <f>IF(AND(A175&lt;&gt;"",ISNUMBER(A175)),VLOOKUP(A175,Studies!A:BR,13,FALSE),"")</f>
        <v>PO</v>
      </c>
      <c r="H175" s="68" t="s">
        <v>58</v>
      </c>
      <c r="I175" s="205" t="str">
        <f>IF(AND(A175&lt;&gt;"",ISNUMBER(A175)),VLOOKUP(A175,Studies!A:BR,6,FALSE),"")</f>
        <v>Plasma</v>
      </c>
      <c r="J175" s="43">
        <v>0.74803140000000001</v>
      </c>
      <c r="K175" s="43" t="s">
        <v>2139</v>
      </c>
      <c r="R175" s="38">
        <v>0</v>
      </c>
      <c r="S175" s="39">
        <v>6</v>
      </c>
      <c r="T175" s="40">
        <v>372</v>
      </c>
      <c r="U175" s="41">
        <v>378</v>
      </c>
      <c r="V175" s="42" t="s">
        <v>59</v>
      </c>
      <c r="X175" s="22">
        <v>400</v>
      </c>
      <c r="Z175" s="28" t="s">
        <v>57</v>
      </c>
      <c r="AA175" s="22" t="s">
        <v>58</v>
      </c>
    </row>
    <row r="176" spans="1:35"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2185</v>
      </c>
      <c r="G176" s="205" t="str">
        <f>IF(AND(A176&lt;&gt;"",ISNUMBER(A176)),VLOOKUP(A176,Studies!A:BR,13,FALSE),"")</f>
        <v>IV</v>
      </c>
      <c r="H176" s="68" t="s">
        <v>58</v>
      </c>
      <c r="I176" s="205" t="str">
        <f>IF(AND(A176&lt;&gt;"",ISNUMBER(A176)),VLOOKUP(A176,Studies!A:BR,6,FALSE),"")</f>
        <v>Plasma</v>
      </c>
      <c r="J176" s="43">
        <v>0.85377349999999996</v>
      </c>
      <c r="K176" s="43" t="s">
        <v>2139</v>
      </c>
      <c r="R176" s="38">
        <v>6</v>
      </c>
      <c r="S176" s="39">
        <v>14</v>
      </c>
      <c r="T176" s="40">
        <v>378</v>
      </c>
      <c r="U176" s="41">
        <v>386</v>
      </c>
      <c r="V176" s="42" t="s">
        <v>59</v>
      </c>
      <c r="X176" s="22">
        <v>400</v>
      </c>
      <c r="Z176" s="28" t="s">
        <v>57</v>
      </c>
      <c r="AA176" s="22" t="s">
        <v>58</v>
      </c>
    </row>
    <row r="177" spans="1:27"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2185</v>
      </c>
      <c r="G177" s="205" t="str">
        <f>IF(AND(A177&lt;&gt;"",ISNUMBER(A177)),VLOOKUP(A177,Studies!A:BR,13,FALSE),"")</f>
        <v>PO</v>
      </c>
      <c r="H177" s="138" t="s">
        <v>58</v>
      </c>
      <c r="I177" s="205" t="str">
        <f>IF(AND(A177&lt;&gt;"",ISNUMBER(A177)),VLOOKUP(A177,Studies!A:BR,6,FALSE),"")</f>
        <v>Plasma</v>
      </c>
      <c r="J177" s="187">
        <v>0.83661410000000003</v>
      </c>
      <c r="K177" s="43" t="s">
        <v>2139</v>
      </c>
      <c r="R177" s="38">
        <v>0</v>
      </c>
      <c r="S177" s="39">
        <v>6</v>
      </c>
      <c r="T177" s="40">
        <v>516</v>
      </c>
      <c r="U177" s="41">
        <v>522</v>
      </c>
      <c r="V177" s="42" t="s">
        <v>59</v>
      </c>
      <c r="X177" s="22">
        <v>400</v>
      </c>
      <c r="Z177" s="28" t="s">
        <v>57</v>
      </c>
      <c r="AA177" s="22" t="s">
        <v>58</v>
      </c>
    </row>
    <row r="178" spans="1:27"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42" t="s">
        <v>2185</v>
      </c>
      <c r="G178" s="205" t="str">
        <f>IF(AND(A178&lt;&gt;"",ISNUMBER(A178)),VLOOKUP(A178,Studies!A:BR,13,FALSE),"")</f>
        <v>IV</v>
      </c>
      <c r="H178" s="138" t="s">
        <v>58</v>
      </c>
      <c r="I178" s="205" t="str">
        <f>IF(AND(A178&lt;&gt;"",ISNUMBER(A178)),VLOOKUP(A178,Studies!A:BR,6,FALSE),"")</f>
        <v>Plasma</v>
      </c>
      <c r="J178" s="187">
        <v>0.92216980000000004</v>
      </c>
      <c r="K178" s="187" t="s">
        <v>2139</v>
      </c>
      <c r="R178" s="38">
        <v>6</v>
      </c>
      <c r="S178" s="39">
        <v>14</v>
      </c>
      <c r="T178" s="40">
        <v>522</v>
      </c>
      <c r="U178" s="41">
        <v>530</v>
      </c>
      <c r="V178" s="42" t="s">
        <v>59</v>
      </c>
      <c r="X178" s="22">
        <v>400</v>
      </c>
      <c r="Z178" s="28" t="s">
        <v>57</v>
      </c>
      <c r="AA178" s="22" t="s">
        <v>58</v>
      </c>
    </row>
    <row r="243" spans="25:35" x14ac:dyDescent="0.2">
      <c r="Y243" s="137"/>
      <c r="Z243" s="137"/>
      <c r="AA243" s="176"/>
      <c r="AB243" s="176"/>
      <c r="AC243" s="136"/>
      <c r="AE243" s="174"/>
      <c r="AG243" s="178"/>
      <c r="AH243" s="178"/>
      <c r="AI243" s="178"/>
    </row>
    <row r="244" spans="25:35" x14ac:dyDescent="0.2">
      <c r="Y244" s="137"/>
      <c r="Z244" s="137"/>
      <c r="AA244" s="176"/>
      <c r="AB244" s="176"/>
      <c r="AC244" s="136"/>
      <c r="AE244" s="174"/>
      <c r="AG244" s="178"/>
      <c r="AH244" s="178"/>
      <c r="AI244" s="178"/>
    </row>
    <row r="245" spans="25:35" x14ac:dyDescent="0.2">
      <c r="Y245" s="137"/>
      <c r="Z245" s="137"/>
      <c r="AA245" s="176"/>
      <c r="AB245" s="176"/>
      <c r="AC245" s="136"/>
      <c r="AE245" s="174"/>
      <c r="AG245" s="178"/>
      <c r="AH245" s="178"/>
      <c r="AI245" s="178"/>
    </row>
    <row r="246" spans="25:35" x14ac:dyDescent="0.2">
      <c r="Y246" s="137"/>
      <c r="Z246" s="137"/>
      <c r="AA246" s="176"/>
      <c r="AB246" s="176"/>
      <c r="AC246" s="136"/>
      <c r="AE246" s="174"/>
      <c r="AG246" s="178"/>
      <c r="AH246" s="178"/>
      <c r="AI246" s="178"/>
    </row>
    <row r="247" spans="25:35" x14ac:dyDescent="0.2">
      <c r="Y247" s="137"/>
      <c r="Z247" s="137"/>
      <c r="AA247" s="176"/>
      <c r="AB247" s="27"/>
      <c r="AC247" s="136"/>
      <c r="AE247" s="174"/>
      <c r="AG247" s="178"/>
      <c r="AH247" s="178"/>
      <c r="AI247" s="178"/>
    </row>
    <row r="248" spans="25:35" x14ac:dyDescent="0.2">
      <c r="Y248" s="137"/>
      <c r="Z248" s="137"/>
      <c r="AA248" s="176"/>
      <c r="AB248" s="176"/>
      <c r="AC248" s="136"/>
      <c r="AE248" s="174"/>
      <c r="AG248" s="178"/>
      <c r="AH248" s="178"/>
      <c r="AI248" s="178"/>
    </row>
    <row r="249" spans="25:35" x14ac:dyDescent="0.2">
      <c r="Y249" s="137"/>
      <c r="Z249" s="137"/>
      <c r="AA249" s="176"/>
      <c r="AB249" s="176"/>
      <c r="AC249" s="136"/>
      <c r="AE249" s="174"/>
      <c r="AG249" s="178"/>
      <c r="AH249" s="178"/>
      <c r="AI249" s="178"/>
    </row>
    <row r="250" spans="25:35" x14ac:dyDescent="0.2">
      <c r="Y250" s="137"/>
      <c r="Z250" s="137"/>
      <c r="AA250" s="176"/>
      <c r="AB250" s="176"/>
      <c r="AC250" s="136"/>
      <c r="AE250" s="174"/>
      <c r="AG250" s="178"/>
      <c r="AH250" s="178"/>
      <c r="AI250" s="178"/>
    </row>
    <row r="251" spans="25:35" x14ac:dyDescent="0.2">
      <c r="Y251" s="137"/>
      <c r="Z251" s="137"/>
      <c r="AA251" s="176"/>
      <c r="AB251" s="176"/>
      <c r="AC251" s="136"/>
      <c r="AE251" s="174"/>
      <c r="AG251" s="178"/>
      <c r="AH251" s="178"/>
      <c r="AI251" s="178"/>
    </row>
    <row r="252" spans="25:35" x14ac:dyDescent="0.2">
      <c r="Y252" s="137"/>
      <c r="Z252" s="137"/>
      <c r="AA252" s="176"/>
      <c r="AB252" s="176"/>
      <c r="AC252" s="136"/>
      <c r="AE252" s="174"/>
      <c r="AG252" s="178"/>
      <c r="AH252" s="178"/>
      <c r="AI252" s="178"/>
    </row>
    <row r="253" spans="25:35" x14ac:dyDescent="0.2">
      <c r="Y253" s="137"/>
      <c r="Z253" s="137"/>
      <c r="AA253" s="176"/>
      <c r="AB253" s="176"/>
      <c r="AC253" s="136"/>
      <c r="AE253" s="174"/>
      <c r="AG253" s="178"/>
      <c r="AH253" s="178"/>
      <c r="AI253" s="178"/>
    </row>
    <row r="254" spans="25:35" x14ac:dyDescent="0.2">
      <c r="Y254" s="137"/>
      <c r="Z254" s="137"/>
      <c r="AA254" s="176"/>
      <c r="AB254" s="176"/>
      <c r="AC254" s="136"/>
      <c r="AE254" s="174"/>
      <c r="AG254" s="178"/>
      <c r="AH254" s="178"/>
      <c r="AI254" s="178"/>
    </row>
    <row r="255" spans="25:35" x14ac:dyDescent="0.2">
      <c r="Y255" s="137"/>
      <c r="Z255" s="137"/>
      <c r="AA255" s="176"/>
      <c r="AB255" s="176"/>
      <c r="AC255" s="136"/>
      <c r="AE255" s="174"/>
      <c r="AG255" s="178"/>
      <c r="AH255" s="178"/>
      <c r="AI255" s="178"/>
    </row>
    <row r="256" spans="25:35" x14ac:dyDescent="0.2">
      <c r="Y256" s="137"/>
      <c r="Z256" s="137"/>
      <c r="AA256" s="176"/>
      <c r="AB256" s="176"/>
      <c r="AC256" s="136"/>
      <c r="AE256" s="174"/>
      <c r="AG256" s="178"/>
      <c r="AH256" s="178"/>
      <c r="AI256" s="178"/>
    </row>
    <row r="257" spans="25:35" x14ac:dyDescent="0.2">
      <c r="Y257" s="137"/>
      <c r="Z257" s="137"/>
      <c r="AA257" s="176"/>
      <c r="AB257" s="176"/>
      <c r="AC257" s="136"/>
      <c r="AE257" s="174"/>
      <c r="AG257" s="178"/>
      <c r="AH257" s="178"/>
      <c r="AI257" s="178"/>
    </row>
    <row r="258" spans="25:35" x14ac:dyDescent="0.2">
      <c r="Y258" s="137"/>
      <c r="Z258" s="137"/>
      <c r="AA258" s="176"/>
      <c r="AB258" s="176"/>
      <c r="AC258" s="136"/>
      <c r="AE258" s="174"/>
      <c r="AG258" s="178"/>
      <c r="AH258" s="178"/>
      <c r="AI258" s="178"/>
    </row>
    <row r="259" spans="25:35" x14ac:dyDescent="0.2">
      <c r="Y259" s="137"/>
      <c r="Z259" s="137"/>
      <c r="AA259" s="176"/>
      <c r="AB259" s="176"/>
      <c r="AC259" s="136"/>
      <c r="AE259" s="174"/>
      <c r="AG259" s="178"/>
      <c r="AH259" s="178"/>
      <c r="AI259" s="178"/>
    </row>
    <row r="260" spans="25:35" x14ac:dyDescent="0.2">
      <c r="Y260" s="137"/>
      <c r="Z260" s="137"/>
      <c r="AA260" s="176"/>
      <c r="AB260" s="176"/>
      <c r="AC260" s="136"/>
      <c r="AE260" s="174"/>
      <c r="AG260" s="178"/>
      <c r="AH260" s="178"/>
      <c r="AI260" s="178"/>
    </row>
    <row r="261" spans="25:35" x14ac:dyDescent="0.2">
      <c r="Y261" s="137"/>
      <c r="Z261" s="137"/>
      <c r="AA261" s="176"/>
      <c r="AB261" s="176"/>
      <c r="AC261" s="136"/>
      <c r="AE261" s="174"/>
      <c r="AG261" s="178"/>
      <c r="AH261" s="178"/>
      <c r="AI261" s="178"/>
    </row>
    <row r="265" spans="25:35" x14ac:dyDescent="0.2">
      <c r="Y265" s="137"/>
      <c r="Z265" s="137"/>
      <c r="AA265" s="176"/>
      <c r="AB265" s="176"/>
      <c r="AC265" s="136"/>
      <c r="AE265" s="174"/>
      <c r="AG265" s="178"/>
      <c r="AH265" s="178"/>
      <c r="AI265" s="178"/>
    </row>
    <row r="266" spans="25:35" x14ac:dyDescent="0.2">
      <c r="Y266" s="137"/>
      <c r="Z266" s="137"/>
      <c r="AA266" s="176"/>
      <c r="AB266" s="176"/>
      <c r="AC266" s="136"/>
      <c r="AE266" s="174"/>
      <c r="AG266" s="178"/>
      <c r="AH266" s="178"/>
      <c r="AI266" s="178"/>
    </row>
  </sheetData>
  <autoFilter ref="A1:AM178"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defaultColWidth="11" defaultRowHeight="14.25" x14ac:dyDescent="0.2"/>
  <cols>
    <col min="1" max="1" width="29" bestFit="1" customWidth="1"/>
    <col min="2" max="2" width="22.75" bestFit="1" customWidth="1"/>
  </cols>
  <sheetData>
    <row r="1" spans="1:2" ht="15" x14ac:dyDescent="0.25">
      <c r="A1" s="1" t="s">
        <v>1168</v>
      </c>
      <c r="B1" s="1" t="s">
        <v>1169</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1170</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1171</v>
      </c>
      <c r="B13" s="245">
        <v>178.27070000000001</v>
      </c>
    </row>
    <row r="14" spans="1:2" x14ac:dyDescent="0.2">
      <c r="A14" s="172" t="s">
        <v>1172</v>
      </c>
      <c r="B14" s="245">
        <v>444.41629999999998</v>
      </c>
    </row>
    <row r="15" spans="1:2" x14ac:dyDescent="0.2">
      <c r="A15" s="172" t="s">
        <v>1173</v>
      </c>
      <c r="B15" s="245">
        <v>853.92</v>
      </c>
    </row>
    <row r="16" spans="1:2" x14ac:dyDescent="0.2">
      <c r="A16" s="172" t="s">
        <v>101</v>
      </c>
      <c r="B16" s="245">
        <v>325.77</v>
      </c>
    </row>
    <row r="17" spans="1:2" x14ac:dyDescent="0.2">
      <c r="A17" s="172" t="s">
        <v>53</v>
      </c>
      <c r="B17" s="245">
        <v>822.94</v>
      </c>
    </row>
    <row r="18" spans="1:2" x14ac:dyDescent="0.2">
      <c r="A18" s="172" t="s">
        <v>1174</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1405</v>
      </c>
      <c r="B24" s="245">
        <v>704.85550000000001</v>
      </c>
    </row>
    <row r="25" spans="1:2" x14ac:dyDescent="0.2">
      <c r="A25" t="s">
        <v>1607</v>
      </c>
      <c r="B25" s="245">
        <v>408.87299999999999</v>
      </c>
    </row>
    <row r="26" spans="1:2" x14ac:dyDescent="0.2">
      <c r="A26" t="s">
        <v>1690</v>
      </c>
      <c r="B26" s="245">
        <v>585</v>
      </c>
    </row>
    <row r="27" spans="1:2" x14ac:dyDescent="0.2">
      <c r="A27" t="s">
        <v>1691</v>
      </c>
      <c r="B27" s="245">
        <v>585</v>
      </c>
    </row>
    <row r="28" spans="1:2" x14ac:dyDescent="0.2">
      <c r="A28" t="s">
        <v>1692</v>
      </c>
      <c r="B28" s="245">
        <v>0</v>
      </c>
    </row>
    <row r="29" spans="1:2" x14ac:dyDescent="0.2">
      <c r="A29" t="s">
        <v>2037</v>
      </c>
      <c r="B29" s="245">
        <v>308.76499999999999</v>
      </c>
    </row>
    <row r="30" spans="1:2" x14ac:dyDescent="0.2">
      <c r="A30" t="s">
        <v>1958</v>
      </c>
      <c r="B30" s="245">
        <v>343.21</v>
      </c>
    </row>
    <row r="31" spans="1:2" x14ac:dyDescent="0.2">
      <c r="A31" t="s">
        <v>2185</v>
      </c>
      <c r="B31" s="245">
        <v>315.67500000000001</v>
      </c>
    </row>
    <row r="32" spans="1:2" x14ac:dyDescent="0.2">
      <c r="A32" t="s">
        <v>1110</v>
      </c>
      <c r="B32" s="245">
        <v>747.95299999999997</v>
      </c>
    </row>
    <row r="33" spans="1:2" x14ac:dyDescent="0.2">
      <c r="A33" t="s">
        <v>2512</v>
      </c>
      <c r="B33">
        <v>763.95</v>
      </c>
    </row>
    <row r="34" spans="1:2" x14ac:dyDescent="0.2">
      <c r="A34" t="s">
        <v>2513</v>
      </c>
      <c r="B34">
        <v>733.93</v>
      </c>
    </row>
    <row r="35" spans="1:2" x14ac:dyDescent="0.2">
      <c r="A35" s="172" t="s">
        <v>382</v>
      </c>
      <c r="B35" s="172">
        <v>454.6</v>
      </c>
    </row>
    <row r="36" spans="1:2" x14ac:dyDescent="0.2">
      <c r="A36" t="s">
        <v>1091</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1175</v>
      </c>
      <c r="B1" s="172"/>
      <c r="C1" s="172"/>
      <c r="D1" s="172"/>
      <c r="E1" s="1" t="s">
        <v>1176</v>
      </c>
      <c r="F1" s="1"/>
      <c r="G1" s="172"/>
      <c r="H1" s="1"/>
      <c r="I1" s="1"/>
      <c r="J1" s="172"/>
      <c r="K1" s="172"/>
      <c r="L1" s="172"/>
      <c r="M1" s="172"/>
      <c r="N1" s="172"/>
      <c r="O1" s="172"/>
      <c r="P1" s="172"/>
    </row>
    <row r="2" spans="1:16" ht="15" x14ac:dyDescent="0.25">
      <c r="A2" s="1" t="s">
        <v>1177</v>
      </c>
      <c r="B2" s="1" t="s">
        <v>939</v>
      </c>
      <c r="C2" s="1" t="s">
        <v>1178</v>
      </c>
      <c r="D2" s="172"/>
      <c r="E2" s="1" t="s">
        <v>1179</v>
      </c>
      <c r="F2" s="1" t="s">
        <v>1180</v>
      </c>
      <c r="G2" s="1" t="s">
        <v>1181</v>
      </c>
      <c r="H2" s="1" t="s">
        <v>1182</v>
      </c>
      <c r="I2" s="1" t="s">
        <v>1183</v>
      </c>
      <c r="J2" s="1" t="s">
        <v>1184</v>
      </c>
      <c r="K2" s="1" t="s">
        <v>1185</v>
      </c>
      <c r="L2" s="1" t="s">
        <v>1186</v>
      </c>
      <c r="M2" s="1" t="s">
        <v>1187</v>
      </c>
      <c r="N2" s="1" t="s">
        <v>1012</v>
      </c>
      <c r="O2" s="172"/>
      <c r="P2" s="1" t="s">
        <v>1188</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1189</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1190</v>
      </c>
      <c r="D5" s="172"/>
      <c r="E5" s="172" t="s">
        <v>1191</v>
      </c>
      <c r="F5" s="172" t="s">
        <v>1191</v>
      </c>
      <c r="G5" s="172" t="s">
        <v>1191</v>
      </c>
      <c r="H5" s="172" t="s">
        <v>1191</v>
      </c>
      <c r="I5" s="172"/>
      <c r="J5" s="172" t="s">
        <v>1192</v>
      </c>
      <c r="K5" s="172" t="s">
        <v>1192</v>
      </c>
      <c r="L5" s="172" t="s">
        <v>1010</v>
      </c>
      <c r="M5" s="172" t="s">
        <v>1010</v>
      </c>
      <c r="N5" s="172" t="s">
        <v>365</v>
      </c>
      <c r="O5" s="172"/>
      <c r="P5" s="172" t="s">
        <v>703</v>
      </c>
    </row>
    <row r="6" spans="1:16" x14ac:dyDescent="0.2">
      <c r="A6" s="172" t="s">
        <v>1193</v>
      </c>
      <c r="B6" s="172"/>
      <c r="C6" s="172" t="s">
        <v>1194</v>
      </c>
      <c r="D6" s="172"/>
      <c r="E6" s="172" t="s">
        <v>1195</v>
      </c>
      <c r="F6" s="172" t="s">
        <v>1195</v>
      </c>
      <c r="G6" s="172" t="s">
        <v>1195</v>
      </c>
      <c r="H6" s="172" t="s">
        <v>1195</v>
      </c>
      <c r="I6" s="172"/>
      <c r="J6" s="172" t="s">
        <v>1196</v>
      </c>
      <c r="K6" s="172" t="s">
        <v>1196</v>
      </c>
      <c r="L6" s="172" t="s">
        <v>951</v>
      </c>
      <c r="M6" s="172" t="s">
        <v>951</v>
      </c>
      <c r="N6" s="172"/>
      <c r="O6" s="172"/>
      <c r="P6" s="172"/>
    </row>
    <row r="7" spans="1:16" x14ac:dyDescent="0.2">
      <c r="A7" s="172" t="s">
        <v>1197</v>
      </c>
      <c r="B7" s="172"/>
      <c r="C7" s="172"/>
      <c r="D7" s="172"/>
      <c r="E7" s="172" t="s">
        <v>1198</v>
      </c>
      <c r="F7" s="172" t="s">
        <v>1198</v>
      </c>
      <c r="G7" s="172" t="s">
        <v>1198</v>
      </c>
      <c r="H7" s="172" t="s">
        <v>1198</v>
      </c>
      <c r="I7" s="172"/>
      <c r="J7" s="172" t="s">
        <v>1199</v>
      </c>
      <c r="K7" s="172" t="s">
        <v>1199</v>
      </c>
      <c r="L7" s="172" t="s">
        <v>944</v>
      </c>
      <c r="M7" s="172" t="s">
        <v>944</v>
      </c>
      <c r="N7" s="172"/>
      <c r="O7" s="172"/>
      <c r="P7" s="172"/>
    </row>
    <row r="8" spans="1:16" x14ac:dyDescent="0.2">
      <c r="A8" s="172" t="s">
        <v>1200</v>
      </c>
      <c r="B8" s="172"/>
      <c r="C8" s="172"/>
      <c r="D8" s="172"/>
      <c r="E8" s="172" t="s">
        <v>1201</v>
      </c>
      <c r="F8" s="172" t="s">
        <v>1201</v>
      </c>
      <c r="G8" s="172" t="s">
        <v>1201</v>
      </c>
      <c r="H8" s="172" t="s">
        <v>1201</v>
      </c>
      <c r="I8" s="172"/>
      <c r="J8" s="172" t="s">
        <v>1202</v>
      </c>
      <c r="K8" s="172" t="s">
        <v>1202</v>
      </c>
      <c r="L8" s="172" t="s">
        <v>1203</v>
      </c>
      <c r="M8" s="172" t="s">
        <v>1203</v>
      </c>
      <c r="N8" s="172"/>
      <c r="O8" s="172"/>
      <c r="P8" s="172"/>
    </row>
    <row r="9" spans="1:16" x14ac:dyDescent="0.2">
      <c r="A9" s="172"/>
      <c r="B9" s="172"/>
      <c r="C9" s="172"/>
      <c r="D9" s="172"/>
      <c r="E9" s="172" t="s">
        <v>1204</v>
      </c>
      <c r="F9" s="172" t="s">
        <v>1204</v>
      </c>
      <c r="G9" s="172" t="s">
        <v>1204</v>
      </c>
      <c r="H9" s="172" t="s">
        <v>1204</v>
      </c>
      <c r="I9" s="172"/>
      <c r="J9" s="172" t="s">
        <v>1205</v>
      </c>
      <c r="K9" s="172" t="s">
        <v>1205</v>
      </c>
      <c r="L9" s="172" t="s">
        <v>1206</v>
      </c>
      <c r="M9" s="172" t="s">
        <v>1206</v>
      </c>
      <c r="N9" s="172"/>
      <c r="O9" s="172"/>
      <c r="P9" s="172"/>
    </row>
    <row r="10" spans="1:16" x14ac:dyDescent="0.2">
      <c r="A10" s="172"/>
      <c r="B10" s="172"/>
      <c r="C10" s="172"/>
      <c r="D10" s="172"/>
      <c r="E10" s="172" t="s">
        <v>1207</v>
      </c>
      <c r="F10" s="172" t="s">
        <v>1207</v>
      </c>
      <c r="G10" s="172" t="s">
        <v>1207</v>
      </c>
      <c r="H10" s="172" t="s">
        <v>1207</v>
      </c>
      <c r="I10" s="172"/>
      <c r="J10" s="172" t="s">
        <v>1208</v>
      </c>
      <c r="K10" s="172" t="s">
        <v>1208</v>
      </c>
      <c r="L10" s="172" t="s">
        <v>973</v>
      </c>
      <c r="M10" s="172" t="s">
        <v>973</v>
      </c>
      <c r="N10" s="172"/>
      <c r="O10" s="172"/>
      <c r="P10" s="172"/>
    </row>
    <row r="11" spans="1:16" x14ac:dyDescent="0.2">
      <c r="A11" s="172"/>
      <c r="B11" s="172"/>
      <c r="C11" s="172"/>
      <c r="D11" s="172"/>
      <c r="E11" s="172" t="s">
        <v>1209</v>
      </c>
      <c r="F11" s="172" t="s">
        <v>1209</v>
      </c>
      <c r="G11" s="172" t="s">
        <v>1209</v>
      </c>
      <c r="H11" s="172" t="s">
        <v>1209</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1210</v>
      </c>
      <c r="F15" s="172" t="s">
        <v>1210</v>
      </c>
      <c r="G15" s="172" t="s">
        <v>1210</v>
      </c>
      <c r="H15" s="172" t="s">
        <v>1210</v>
      </c>
      <c r="I15" s="172"/>
      <c r="J15" s="172" t="s">
        <v>1211</v>
      </c>
      <c r="K15" s="172" t="s">
        <v>1211</v>
      </c>
      <c r="L15" s="172"/>
      <c r="M15" s="172"/>
      <c r="N15" s="172"/>
      <c r="O15" s="172"/>
      <c r="P15" s="172"/>
    </row>
    <row r="16" spans="1:16" x14ac:dyDescent="0.2">
      <c r="A16" s="172"/>
      <c r="B16" s="172"/>
      <c r="C16" s="172"/>
      <c r="D16" s="172"/>
      <c r="E16" s="172" t="s">
        <v>1212</v>
      </c>
      <c r="F16" s="172" t="s">
        <v>1212</v>
      </c>
      <c r="G16" s="172" t="s">
        <v>1212</v>
      </c>
      <c r="H16" s="172" t="s">
        <v>1212</v>
      </c>
      <c r="I16" s="172"/>
      <c r="J16" s="172" t="s">
        <v>1213</v>
      </c>
      <c r="K16" s="172" t="s">
        <v>1213</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1214</v>
      </c>
      <c r="F18" s="172" t="s">
        <v>1214</v>
      </c>
      <c r="G18" s="172" t="s">
        <v>1214</v>
      </c>
      <c r="H18" s="172" t="s">
        <v>1214</v>
      </c>
      <c r="I18" s="172"/>
      <c r="J18" s="172" t="s">
        <v>1215</v>
      </c>
      <c r="K18" s="172" t="s">
        <v>1215</v>
      </c>
    </row>
    <row r="19" spans="5:11" x14ac:dyDescent="0.2">
      <c r="E19" s="172" t="s">
        <v>1216</v>
      </c>
      <c r="F19" s="172" t="s">
        <v>1216</v>
      </c>
      <c r="G19" s="172" t="s">
        <v>1216</v>
      </c>
      <c r="H19" s="172" t="s">
        <v>1216</v>
      </c>
      <c r="I19" s="172"/>
      <c r="J19" s="172" t="s">
        <v>1217</v>
      </c>
      <c r="K19" s="172" t="s">
        <v>1217</v>
      </c>
    </row>
    <row r="20" spans="5:11" x14ac:dyDescent="0.2">
      <c r="E20" s="172" t="s">
        <v>1218</v>
      </c>
      <c r="F20" s="172" t="s">
        <v>1218</v>
      </c>
      <c r="G20" s="172" t="s">
        <v>1218</v>
      </c>
      <c r="H20" s="172" t="s">
        <v>1218</v>
      </c>
      <c r="I20" s="172"/>
      <c r="J20" s="172" t="s">
        <v>1219</v>
      </c>
      <c r="K20" s="172" t="s">
        <v>1219</v>
      </c>
    </row>
    <row r="21" spans="5:11" x14ac:dyDescent="0.2">
      <c r="E21" s="172" t="s">
        <v>1220</v>
      </c>
      <c r="F21" s="172" t="s">
        <v>1220</v>
      </c>
      <c r="G21" s="172" t="s">
        <v>1220</v>
      </c>
      <c r="H21" s="172" t="s">
        <v>1220</v>
      </c>
      <c r="I21" s="172"/>
      <c r="J21" s="172" t="s">
        <v>1221</v>
      </c>
      <c r="K21" s="172" t="s">
        <v>1221</v>
      </c>
    </row>
    <row r="22" spans="5:11" x14ac:dyDescent="0.2">
      <c r="E22" s="172" t="s">
        <v>1222</v>
      </c>
      <c r="F22" s="172" t="s">
        <v>1222</v>
      </c>
      <c r="G22" s="172" t="s">
        <v>1222</v>
      </c>
      <c r="H22" s="172" t="s">
        <v>1222</v>
      </c>
      <c r="I22" s="172"/>
      <c r="J22" s="172" t="s">
        <v>1223</v>
      </c>
      <c r="K22" s="172" t="s">
        <v>1223</v>
      </c>
    </row>
    <row r="23" spans="5:11" x14ac:dyDescent="0.2">
      <c r="E23" s="172" t="s">
        <v>1224</v>
      </c>
      <c r="F23" s="172" t="s">
        <v>1224</v>
      </c>
      <c r="G23" s="172" t="s">
        <v>1224</v>
      </c>
      <c r="H23" s="172" t="s">
        <v>1224</v>
      </c>
      <c r="I23" s="172"/>
      <c r="J23" s="172" t="s">
        <v>1225</v>
      </c>
      <c r="K23" s="172" t="s">
        <v>1225</v>
      </c>
    </row>
    <row r="24" spans="5:11" x14ac:dyDescent="0.2">
      <c r="E24" s="172" t="s">
        <v>1226</v>
      </c>
      <c r="F24" s="172" t="s">
        <v>1226</v>
      </c>
      <c r="G24" s="172" t="s">
        <v>1226</v>
      </c>
      <c r="H24" s="172" t="s">
        <v>1226</v>
      </c>
      <c r="I24" s="172"/>
      <c r="J24" s="172" t="s">
        <v>1227</v>
      </c>
      <c r="K24" s="172" t="s">
        <v>1227</v>
      </c>
    </row>
    <row r="25" spans="5:11" x14ac:dyDescent="0.2">
      <c r="E25" s="172" t="s">
        <v>1228</v>
      </c>
      <c r="F25" s="172" t="s">
        <v>1228</v>
      </c>
      <c r="G25" s="172" t="s">
        <v>1228</v>
      </c>
      <c r="H25" s="172" t="s">
        <v>1228</v>
      </c>
      <c r="I25" s="172"/>
      <c r="J25" s="172" t="s">
        <v>1229</v>
      </c>
      <c r="K25" s="172" t="s">
        <v>1229</v>
      </c>
    </row>
    <row r="26" spans="5:11" x14ac:dyDescent="0.2">
      <c r="E26" s="172" t="s">
        <v>1230</v>
      </c>
      <c r="F26" s="172" t="s">
        <v>1230</v>
      </c>
      <c r="G26" s="172" t="s">
        <v>1230</v>
      </c>
      <c r="H26" s="172" t="s">
        <v>1230</v>
      </c>
      <c r="I26" s="172"/>
      <c r="J26" s="172" t="s">
        <v>1231</v>
      </c>
      <c r="K26" s="172" t="s">
        <v>1231</v>
      </c>
    </row>
    <row r="27" spans="5:11" x14ac:dyDescent="0.2">
      <c r="E27" s="172" t="s">
        <v>57</v>
      </c>
      <c r="F27" s="172" t="s">
        <v>57</v>
      </c>
      <c r="G27" s="172"/>
      <c r="H27" s="172" t="s">
        <v>446</v>
      </c>
      <c r="I27" s="172"/>
      <c r="J27" s="172" t="s">
        <v>1232</v>
      </c>
      <c r="K27" s="172" t="s">
        <v>1232</v>
      </c>
    </row>
    <row r="28" spans="5:11" x14ac:dyDescent="0.2">
      <c r="E28" s="172" t="s">
        <v>448</v>
      </c>
      <c r="F28" s="172" t="s">
        <v>448</v>
      </c>
      <c r="G28" s="172"/>
      <c r="H28" s="172"/>
      <c r="I28" s="172"/>
      <c r="J28" s="172" t="s">
        <v>1233</v>
      </c>
      <c r="K28" s="172" t="s">
        <v>1233</v>
      </c>
    </row>
    <row r="29" spans="5:11" x14ac:dyDescent="0.2">
      <c r="E29" s="172" t="s">
        <v>1234</v>
      </c>
      <c r="F29" s="172" t="s">
        <v>1234</v>
      </c>
      <c r="G29" s="172"/>
      <c r="H29" s="172"/>
      <c r="I29" s="172"/>
      <c r="J29" s="172" t="s">
        <v>1235</v>
      </c>
      <c r="K29" s="172" t="s">
        <v>1235</v>
      </c>
    </row>
    <row r="30" spans="5:11" x14ac:dyDescent="0.2">
      <c r="E30" s="172" t="s">
        <v>1236</v>
      </c>
      <c r="F30" s="172" t="s">
        <v>1236</v>
      </c>
      <c r="G30" s="172"/>
      <c r="H30" s="172"/>
      <c r="I30" s="172"/>
      <c r="J30" s="172" t="s">
        <v>1237</v>
      </c>
      <c r="K30" s="172" t="s">
        <v>1237</v>
      </c>
    </row>
    <row r="31" spans="5:11" x14ac:dyDescent="0.2">
      <c r="E31" s="172" t="s">
        <v>1238</v>
      </c>
      <c r="F31" s="172" t="s">
        <v>1238</v>
      </c>
      <c r="G31" s="172"/>
      <c r="H31" s="172"/>
      <c r="I31" s="172"/>
      <c r="J31" s="172" t="s">
        <v>1239</v>
      </c>
      <c r="K31" s="172" t="s">
        <v>1239</v>
      </c>
    </row>
    <row r="32" spans="5:11" x14ac:dyDescent="0.2">
      <c r="E32" s="172" t="s">
        <v>1240</v>
      </c>
      <c r="F32" s="172" t="s">
        <v>1240</v>
      </c>
      <c r="G32" s="172"/>
      <c r="H32" s="172"/>
      <c r="I32" s="172"/>
      <c r="J32" s="172" t="s">
        <v>1241</v>
      </c>
      <c r="K32" s="172" t="s">
        <v>1241</v>
      </c>
    </row>
    <row r="33" spans="5:11" x14ac:dyDescent="0.2">
      <c r="E33" s="172" t="s">
        <v>1242</v>
      </c>
      <c r="F33" s="172" t="s">
        <v>1242</v>
      </c>
      <c r="G33" s="172"/>
      <c r="H33" s="172"/>
      <c r="I33" s="172"/>
      <c r="J33" s="172" t="s">
        <v>1243</v>
      </c>
      <c r="K33" s="172" t="s">
        <v>1243</v>
      </c>
    </row>
    <row r="34" spans="5:11" x14ac:dyDescent="0.2">
      <c r="E34" s="172" t="s">
        <v>1244</v>
      </c>
      <c r="F34" s="172" t="s">
        <v>1244</v>
      </c>
      <c r="G34" s="172"/>
      <c r="H34" s="172"/>
      <c r="I34" s="172"/>
      <c r="J34" s="172" t="s">
        <v>1245</v>
      </c>
      <c r="K34" s="172" t="s">
        <v>1245</v>
      </c>
    </row>
    <row r="35" spans="5:11" x14ac:dyDescent="0.2">
      <c r="E35" s="172" t="s">
        <v>446</v>
      </c>
      <c r="F35" s="172" t="s">
        <v>446</v>
      </c>
      <c r="G35" s="172"/>
      <c r="H35" s="172"/>
      <c r="I35" s="172"/>
      <c r="J35" s="172" t="s">
        <v>1246</v>
      </c>
      <c r="K35" s="172" t="s">
        <v>1246</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1247</v>
      </c>
      <c r="K38" s="172" t="s">
        <v>1247</v>
      </c>
    </row>
    <row r="39" spans="5:11" x14ac:dyDescent="0.2">
      <c r="E39" s="172"/>
      <c r="F39" s="172"/>
      <c r="G39" s="172"/>
      <c r="H39" s="172"/>
      <c r="I39" s="172"/>
      <c r="J39" s="172" t="s">
        <v>1248</v>
      </c>
      <c r="K39" s="172" t="s">
        <v>1248</v>
      </c>
    </row>
    <row r="40" spans="5:11" x14ac:dyDescent="0.2">
      <c r="E40" s="172"/>
      <c r="F40" s="172"/>
      <c r="G40" s="172"/>
      <c r="H40" s="172"/>
      <c r="I40" s="172"/>
      <c r="J40" s="172" t="s">
        <v>1249</v>
      </c>
      <c r="K40" s="172" t="s">
        <v>1249</v>
      </c>
    </row>
    <row r="41" spans="5:11" x14ac:dyDescent="0.2">
      <c r="E41" s="172"/>
      <c r="F41" s="172"/>
      <c r="G41" s="172"/>
      <c r="H41" s="172"/>
      <c r="I41" s="172"/>
      <c r="J41" s="172" t="s">
        <v>1250</v>
      </c>
      <c r="K41" s="172" t="s">
        <v>1250</v>
      </c>
    </row>
    <row r="42" spans="5:11" x14ac:dyDescent="0.2">
      <c r="E42" s="172"/>
      <c r="F42" s="172"/>
      <c r="G42" s="172"/>
      <c r="H42" s="172"/>
      <c r="I42" s="172"/>
      <c r="J42" s="172" t="s">
        <v>1251</v>
      </c>
      <c r="K42" s="172" t="s">
        <v>1251</v>
      </c>
    </row>
    <row r="43" spans="5:11" x14ac:dyDescent="0.2">
      <c r="E43" s="172"/>
      <c r="F43" s="172"/>
      <c r="G43" s="172"/>
      <c r="H43" s="172"/>
      <c r="I43" s="172"/>
      <c r="J43" s="172" t="s">
        <v>1252</v>
      </c>
      <c r="K43" s="172" t="s">
        <v>1252</v>
      </c>
    </row>
    <row r="44" spans="5:11" x14ac:dyDescent="0.2">
      <c r="E44" s="172"/>
      <c r="F44" s="172"/>
      <c r="G44" s="172"/>
      <c r="H44" s="172"/>
      <c r="I44" s="172"/>
      <c r="J44" s="172" t="s">
        <v>1253</v>
      </c>
      <c r="K44" s="172" t="s">
        <v>1253</v>
      </c>
    </row>
    <row r="45" spans="5:11" x14ac:dyDescent="0.2">
      <c r="E45" s="172"/>
      <c r="F45" s="172"/>
      <c r="G45" s="172"/>
      <c r="H45" s="172"/>
      <c r="I45" s="172"/>
      <c r="J45" s="172" t="s">
        <v>1254</v>
      </c>
      <c r="K45" s="172" t="s">
        <v>1254</v>
      </c>
    </row>
    <row r="46" spans="5:11" x14ac:dyDescent="0.2">
      <c r="E46" s="172"/>
      <c r="F46" s="172"/>
      <c r="G46" s="172"/>
      <c r="H46" s="172"/>
      <c r="I46" s="172"/>
      <c r="J46" s="172" t="s">
        <v>1255</v>
      </c>
      <c r="K46" s="172" t="s">
        <v>1255</v>
      </c>
    </row>
    <row r="47" spans="5:11" x14ac:dyDescent="0.2">
      <c r="E47" s="172"/>
      <c r="F47" s="172"/>
      <c r="G47" s="172"/>
      <c r="H47" s="172"/>
      <c r="I47" s="172"/>
      <c r="J47" s="172" t="s">
        <v>1256</v>
      </c>
      <c r="K47" s="172" t="s">
        <v>1256</v>
      </c>
    </row>
    <row r="48" spans="5:11" x14ac:dyDescent="0.2">
      <c r="E48" s="172"/>
      <c r="F48" s="172"/>
      <c r="G48" s="172"/>
      <c r="H48" s="172"/>
      <c r="I48" s="172"/>
      <c r="J48" s="172" t="s">
        <v>1257</v>
      </c>
      <c r="K48" s="172" t="s">
        <v>1257</v>
      </c>
    </row>
    <row r="49" spans="10:13" x14ac:dyDescent="0.2">
      <c r="J49" s="172" t="s">
        <v>1258</v>
      </c>
      <c r="K49" s="172" t="s">
        <v>1258</v>
      </c>
      <c r="L49" s="172"/>
      <c r="M49" s="172"/>
    </row>
    <row r="50" spans="10:13" x14ac:dyDescent="0.2">
      <c r="J50" s="172" t="s">
        <v>1259</v>
      </c>
      <c r="K50" s="172" t="s">
        <v>1259</v>
      </c>
      <c r="L50" s="172"/>
      <c r="M50" s="172"/>
    </row>
    <row r="51" spans="10:13" x14ac:dyDescent="0.2">
      <c r="J51" s="172" t="s">
        <v>1260</v>
      </c>
      <c r="K51" s="172" t="s">
        <v>1260</v>
      </c>
      <c r="L51" s="172"/>
      <c r="M51" s="172"/>
    </row>
    <row r="52" spans="10:13" x14ac:dyDescent="0.2">
      <c r="J52" s="172" t="s">
        <v>964</v>
      </c>
      <c r="K52" s="172" t="s">
        <v>964</v>
      </c>
      <c r="L52" s="172"/>
      <c r="M52" s="172"/>
    </row>
    <row r="53" spans="10:13" x14ac:dyDescent="0.2">
      <c r="J53" s="172" t="s">
        <v>1192</v>
      </c>
      <c r="K53" s="172" t="s">
        <v>1192</v>
      </c>
      <c r="L53" s="172"/>
      <c r="M53" s="172"/>
    </row>
    <row r="54" spans="10:13" x14ac:dyDescent="0.2">
      <c r="J54" s="172" t="s">
        <v>1196</v>
      </c>
      <c r="K54" s="172" t="s">
        <v>1196</v>
      </c>
      <c r="L54" s="172"/>
      <c r="M54" s="172"/>
    </row>
    <row r="55" spans="10:13" x14ac:dyDescent="0.2">
      <c r="J55" s="172" t="s">
        <v>1199</v>
      </c>
      <c r="K55" s="172" t="s">
        <v>1199</v>
      </c>
      <c r="L55" s="172"/>
      <c r="M55" s="172"/>
    </row>
    <row r="56" spans="10:13" x14ac:dyDescent="0.2">
      <c r="J56" s="172" t="s">
        <v>1202</v>
      </c>
      <c r="K56" s="172" t="s">
        <v>1202</v>
      </c>
      <c r="L56" s="172"/>
      <c r="M56" s="172"/>
    </row>
    <row r="57" spans="10:13" x14ac:dyDescent="0.2">
      <c r="J57" s="172" t="s">
        <v>1205</v>
      </c>
      <c r="K57" s="172" t="s">
        <v>1205</v>
      </c>
      <c r="L57" s="172"/>
      <c r="M57" s="172"/>
    </row>
    <row r="58" spans="10:13" x14ac:dyDescent="0.2">
      <c r="J58" s="172" t="s">
        <v>1208</v>
      </c>
      <c r="K58" s="172" t="s">
        <v>1208</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1211</v>
      </c>
      <c r="K63" s="172" t="s">
        <v>1211</v>
      </c>
      <c r="L63" s="172"/>
      <c r="M63" s="172"/>
    </row>
    <row r="64" spans="10:13" x14ac:dyDescent="0.2">
      <c r="J64" s="172" t="s">
        <v>1213</v>
      </c>
      <c r="K64" s="172" t="s">
        <v>1213</v>
      </c>
      <c r="L64" s="172"/>
      <c r="M64" s="172"/>
    </row>
    <row r="65" spans="10:13" x14ac:dyDescent="0.2">
      <c r="J65" s="172" t="s">
        <v>960</v>
      </c>
      <c r="K65" s="172" t="s">
        <v>960</v>
      </c>
      <c r="L65" s="172"/>
      <c r="M65" s="172"/>
    </row>
    <row r="66" spans="10:13" x14ac:dyDescent="0.2">
      <c r="J66" s="172" t="s">
        <v>1215</v>
      </c>
      <c r="K66" s="172" t="s">
        <v>1215</v>
      </c>
      <c r="L66" s="172"/>
      <c r="M66" s="172"/>
    </row>
    <row r="67" spans="10:13" x14ac:dyDescent="0.2">
      <c r="J67" s="172" t="s">
        <v>1217</v>
      </c>
      <c r="K67" s="172" t="s">
        <v>1217</v>
      </c>
      <c r="L67" s="172"/>
      <c r="M67" s="172"/>
    </row>
    <row r="68" spans="10:13" x14ac:dyDescent="0.2">
      <c r="J68" s="172" t="s">
        <v>1219</v>
      </c>
      <c r="K68" s="172" t="s">
        <v>1219</v>
      </c>
      <c r="L68" s="172"/>
      <c r="M68" s="172"/>
    </row>
    <row r="69" spans="10:13" x14ac:dyDescent="0.2">
      <c r="J69" s="172" t="s">
        <v>1221</v>
      </c>
      <c r="K69" s="172" t="s">
        <v>1221</v>
      </c>
      <c r="L69" s="172"/>
      <c r="M69" s="172"/>
    </row>
    <row r="70" spans="10:13" x14ac:dyDescent="0.2">
      <c r="J70" s="172" t="s">
        <v>1223</v>
      </c>
      <c r="K70" s="172" t="s">
        <v>1223</v>
      </c>
      <c r="L70" s="172"/>
      <c r="M70" s="172"/>
    </row>
    <row r="71" spans="10:13" x14ac:dyDescent="0.2">
      <c r="J71" s="172" t="s">
        <v>1225</v>
      </c>
      <c r="K71" s="172" t="s">
        <v>1225</v>
      </c>
      <c r="L71" s="172"/>
      <c r="M71" s="172"/>
    </row>
    <row r="72" spans="10:13" x14ac:dyDescent="0.2">
      <c r="J72" s="172" t="s">
        <v>1227</v>
      </c>
      <c r="K72" s="172" t="s">
        <v>1227</v>
      </c>
      <c r="L72" s="172"/>
      <c r="M72" s="172"/>
    </row>
    <row r="73" spans="10:13" x14ac:dyDescent="0.2">
      <c r="J73" s="172" t="s">
        <v>1229</v>
      </c>
      <c r="K73" s="172" t="s">
        <v>1229</v>
      </c>
      <c r="L73" s="172"/>
      <c r="M73" s="172"/>
    </row>
    <row r="74" spans="10:13" x14ac:dyDescent="0.2">
      <c r="J74" s="172" t="s">
        <v>1231</v>
      </c>
      <c r="K74" s="172" t="s">
        <v>1231</v>
      </c>
      <c r="L74" s="172"/>
      <c r="M74" s="172"/>
    </row>
    <row r="75" spans="10:13" x14ac:dyDescent="0.2">
      <c r="J75" s="172" t="s">
        <v>1232</v>
      </c>
      <c r="K75" s="172" t="s">
        <v>1232</v>
      </c>
      <c r="L75" s="172"/>
      <c r="M75" s="172"/>
    </row>
    <row r="76" spans="10:13" x14ac:dyDescent="0.2">
      <c r="J76" s="172" t="s">
        <v>1233</v>
      </c>
      <c r="K76" s="172" t="s">
        <v>1233</v>
      </c>
      <c r="L76" s="172"/>
      <c r="M76" s="172"/>
    </row>
    <row r="77" spans="10:13" x14ac:dyDescent="0.2">
      <c r="J77" s="172" t="s">
        <v>1235</v>
      </c>
      <c r="K77" s="172" t="s">
        <v>1235</v>
      </c>
      <c r="L77" s="172"/>
      <c r="M77" s="172"/>
    </row>
    <row r="78" spans="10:13" x14ac:dyDescent="0.2">
      <c r="J78" s="172" t="s">
        <v>1237</v>
      </c>
      <c r="K78" s="172" t="s">
        <v>1237</v>
      </c>
      <c r="L78" s="172"/>
      <c r="M78" s="172"/>
    </row>
    <row r="79" spans="10:13" x14ac:dyDescent="0.2">
      <c r="J79" s="172" t="s">
        <v>1239</v>
      </c>
      <c r="K79" s="172" t="s">
        <v>1239</v>
      </c>
      <c r="L79" s="172"/>
      <c r="M79" s="172"/>
    </row>
    <row r="80" spans="10:13" x14ac:dyDescent="0.2">
      <c r="J80" s="172" t="s">
        <v>1241</v>
      </c>
      <c r="K80" s="172" t="s">
        <v>1241</v>
      </c>
      <c r="L80" s="172"/>
      <c r="M80" s="172"/>
    </row>
    <row r="81" spans="10:13" x14ac:dyDescent="0.2">
      <c r="J81" s="172" t="s">
        <v>1243</v>
      </c>
      <c r="K81" s="172" t="s">
        <v>1243</v>
      </c>
      <c r="L81" s="172"/>
      <c r="M81" s="172"/>
    </row>
    <row r="82" spans="10:13" x14ac:dyDescent="0.2">
      <c r="J82" s="172" t="s">
        <v>1245</v>
      </c>
      <c r="K82" s="172" t="s">
        <v>1245</v>
      </c>
      <c r="L82" s="172"/>
      <c r="M82" s="172"/>
    </row>
    <row r="83" spans="10:13" x14ac:dyDescent="0.2">
      <c r="J83" s="172" t="s">
        <v>1246</v>
      </c>
      <c r="K83" s="172" t="s">
        <v>1246</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1247</v>
      </c>
      <c r="K86" s="172" t="s">
        <v>1247</v>
      </c>
      <c r="L86" s="172"/>
      <c r="M86" s="172"/>
    </row>
    <row r="87" spans="10:13" x14ac:dyDescent="0.2">
      <c r="J87" s="172" t="s">
        <v>1248</v>
      </c>
      <c r="K87" s="172" t="s">
        <v>1248</v>
      </c>
      <c r="L87" s="172"/>
      <c r="M87" s="172"/>
    </row>
    <row r="88" spans="10:13" x14ac:dyDescent="0.2">
      <c r="J88" s="172" t="s">
        <v>1249</v>
      </c>
      <c r="K88" s="172" t="s">
        <v>1249</v>
      </c>
      <c r="L88" s="172"/>
      <c r="M88" s="172"/>
    </row>
    <row r="89" spans="10:13" x14ac:dyDescent="0.2">
      <c r="J89" s="172" t="s">
        <v>1250</v>
      </c>
      <c r="K89" s="172" t="s">
        <v>1250</v>
      </c>
      <c r="L89" s="172"/>
      <c r="M89" s="172"/>
    </row>
    <row r="90" spans="10:13" x14ac:dyDescent="0.2">
      <c r="J90" s="172" t="s">
        <v>1251</v>
      </c>
      <c r="K90" s="172" t="s">
        <v>1251</v>
      </c>
      <c r="L90" s="172"/>
      <c r="M90" s="172"/>
    </row>
    <row r="91" spans="10:13" x14ac:dyDescent="0.2">
      <c r="J91" s="172" t="s">
        <v>1252</v>
      </c>
      <c r="K91" s="172" t="s">
        <v>1252</v>
      </c>
      <c r="L91" s="172"/>
      <c r="M91" s="172"/>
    </row>
    <row r="92" spans="10:13" x14ac:dyDescent="0.2">
      <c r="J92" s="172" t="s">
        <v>1253</v>
      </c>
      <c r="K92" s="172" t="s">
        <v>1253</v>
      </c>
      <c r="L92" s="172"/>
      <c r="M92" s="172"/>
    </row>
    <row r="93" spans="10:13" x14ac:dyDescent="0.2">
      <c r="J93" s="172" t="s">
        <v>1254</v>
      </c>
      <c r="K93" s="172" t="s">
        <v>1254</v>
      </c>
      <c r="L93" s="172"/>
      <c r="M93" s="172"/>
    </row>
    <row r="94" spans="10:13" x14ac:dyDescent="0.2">
      <c r="J94" s="172" t="s">
        <v>1255</v>
      </c>
      <c r="K94" s="172" t="s">
        <v>1255</v>
      </c>
      <c r="L94" s="172"/>
      <c r="M94" s="172"/>
    </row>
    <row r="95" spans="10:13" x14ac:dyDescent="0.2">
      <c r="J95" s="172" t="s">
        <v>1256</v>
      </c>
      <c r="K95" s="172" t="s">
        <v>1256</v>
      </c>
      <c r="L95" s="172"/>
      <c r="M95" s="172"/>
    </row>
    <row r="96" spans="10:13" x14ac:dyDescent="0.2">
      <c r="J96" s="172" t="s">
        <v>1257</v>
      </c>
      <c r="K96" s="172" t="s">
        <v>1257</v>
      </c>
      <c r="L96" s="172"/>
      <c r="M96" s="172"/>
    </row>
    <row r="97" spans="10:13" x14ac:dyDescent="0.2">
      <c r="J97" s="172" t="s">
        <v>1258</v>
      </c>
      <c r="K97" s="172" t="s">
        <v>1258</v>
      </c>
      <c r="L97" s="172"/>
      <c r="M97" s="172"/>
    </row>
    <row r="98" spans="10:13" x14ac:dyDescent="0.2">
      <c r="J98" s="172" t="s">
        <v>1259</v>
      </c>
      <c r="K98" s="172" t="s">
        <v>1259</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7"/>
  <sheetViews>
    <sheetView zoomScale="85" zoomScaleNormal="85" workbookViewId="0">
      <pane ySplit="1" topLeftCell="A919" activePane="bottomLeft" state="frozen"/>
      <selection pane="bottomLeft" activeCell="F947" sqref="F947"/>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1261</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1262</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1263</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1264</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1265</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1266</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1265</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1265</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1263</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1263</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1267</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1265</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1268</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1267</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1265</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1268</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1267</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1265</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1405</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1271</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1272</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1271</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1272</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1264</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1265</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1264</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1265</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1269</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1270</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1269</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1270</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1264</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1265</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1271</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1272</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1264</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1265</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1271</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1272</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1269</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1270</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1273</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1274</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1275</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1276</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1277</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1275</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1276</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1264</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1278</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1264</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1265</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1278</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1279</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1278</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1264</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1265</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1278</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1279</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1264</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1278</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1279</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1264</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1265</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1265</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1265</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1265</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1278</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1279</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1279</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1279</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1279</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1264</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1265</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1265</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1265</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1265</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1278</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1279</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1279</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1279</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1279</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1269</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1270</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1269</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1270</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1280</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1281</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1282</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1283</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1284</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1285</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1286</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1287</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1288</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1289</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1290</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1291</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1292</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1293</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1269</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1270</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1294</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1264</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1265</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1264</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1265</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1271</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1272</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1295</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1296</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1296</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1296</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1295</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1296</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1295</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1296</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1297</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1263</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1268</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1298</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1299</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1262</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1262</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1262</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1263</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1263</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1263</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1316</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1316</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1316</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1264</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1265</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1278</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1279</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1265</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1265</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1265</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1264</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1270</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1270</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1270</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1269</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1300</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1301</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1302</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1300</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1301</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1302</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1295</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1296</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1264</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1265</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1262</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1263</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1263</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1263</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1303</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1268</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1271</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1272</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1295</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1296</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1405</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1405</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1405</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1405</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1405</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1405</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1405</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1405</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1405</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1405</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1405</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1405</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1405</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1405</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1405</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1405</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1405</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1405</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1405</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1405</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1505</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1822</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1505</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1822</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1505</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1822</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1823</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1822</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1505</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1822</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1405</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1405</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1405</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1405</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1405</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1405</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1405</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1405</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1607</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1607</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1607</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1607</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1607</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1607</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1607</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1607</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1607</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1607</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1607</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1686</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1685</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2150</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2151</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1607</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1607</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1607</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1607</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1607</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1607</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1607</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1607</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1607</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1607</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1607</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1607</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1607</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1607</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1607</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1607</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1607</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1607</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1607</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1607</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1607</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1607</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1607</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1607</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1607</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1607</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1607</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1607</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1607</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1607</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1607</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1607</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1607</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1607</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1607</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1607</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1607</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1607</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1607</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1607</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1607</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1607</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1607</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1607</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1607</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1607</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1958</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1958</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1958</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1958</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1958</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1958</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1958</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1958</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1958</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1958</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1958</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1958</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1958</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1958</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1958</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1958</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1958</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1958</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1958</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1958</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1958</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1958</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1958</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1958</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1958</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1958</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2880</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1958</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2037</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2037</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2037</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2037</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2037</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2037</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2037</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2037</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2037</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2037</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2037</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2037</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2037</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2037</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2037</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2037</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2037</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2037</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2037</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2037</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2037</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2796</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2037</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2037</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2037</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2037</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2037</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2037</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2037</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2177</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2152</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2153</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1279</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2152</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2153</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1279</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2152</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2153</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1279</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2152</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2153</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1279</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3003</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2178</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2179</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2179</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2179</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2177</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2185</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2185</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2185</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2185</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2185</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2185</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2185</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2185</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2185</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2185</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2185</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2185</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2185</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2185</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2185</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2185</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2185</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2185</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2254</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2254</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2254</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2254</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2185</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2185</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2797</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2798</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2881</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2880</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2880</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2880</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2880</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2880</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2880</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2880</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2880</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2880</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2880</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2881</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2881</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2881</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2881</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2881</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2881</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2881</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2881</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2881</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2881</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3002</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2866</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2868</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2865</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2867</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2995</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2995</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2995</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2995</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2995</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2995</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2995</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2995</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2995</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2995</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2996</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2996</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2996</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2996</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2996</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2996</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2996</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2996</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2996</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2996</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2868</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2868</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2868</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2868</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2868</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2868</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2868</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2868</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2868</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2865</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2865</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2865</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2865</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2865</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2865</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2865</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2865</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2865</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2867</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2867</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2867</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2867</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2867</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2867</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2867</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2867</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2867</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2867</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2867</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2867</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2867</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2867</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2996</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2996</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2996</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2996</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1303</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1268</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2720</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2721</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2745</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1268</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1265</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2745</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1268</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1265</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2723</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1263</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2724</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1272</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2869</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2870</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2870</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2870</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2870</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2729</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2730</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2731</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2729</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2730</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2870</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2870</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2729</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2730</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2872</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2872</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1265</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1265</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1272</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1272</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2720</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2721</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2797</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2797</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2797</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2720</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2721</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2720</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2721</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2720</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2721</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1271</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1271</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1271</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1271</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1271</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1271</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1272</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1272</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1272</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1272</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1272</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1272</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2871</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2871</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1272</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1303</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1268</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1265</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1303</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1268</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1265</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2694</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2695</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2694</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2694</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2695</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2695</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2755</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2695</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2695</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2695</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2695</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2695</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2695</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2695</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2695</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2864</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2864</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2864</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2864</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2864</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2864</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2864</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2864</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2864</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2864</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2864</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2864</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2864</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2864</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2864</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2864</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2864</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2864</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2864</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2864</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2864</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2864</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1296</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1296</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2037</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2179</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2179</v>
      </c>
    </row>
    <row r="947" spans="1:6" x14ac:dyDescent="0.2">
      <c r="A947" s="110">
        <v>847</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1</v>
      </c>
      <c r="E947" s="186" t="str">
        <f>IF(AND(A947&lt;&gt;"",ISNUMBER(A947)),VLOOKUP(A947,Studies!A:BR,5,FALSE),"")</f>
        <v>Alfentanil</v>
      </c>
      <c r="F947" s="78" t="s">
        <v>2179</v>
      </c>
    </row>
  </sheetData>
  <autoFilter ref="A1:F94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5BC62DA-2B2A-4182-968B-675A68C976B3}">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aecc70ee-2d6e-4d6b-a98f-0dfc4d2572dc"/>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62209783-4AAD-4055-8F9C-485BBD383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2020-03-24T16:46:28Z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