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41" documentId="6_{BA3E1D07-8B83-4967-8923-AC1C2CE3E62A}" xr6:coauthVersionLast="41" xr6:coauthVersionMax="41" xr10:uidLastSave="{FD1A1178-F256-401C-B74F-FCB13FCC9705}"/>
  <bookViews>
    <workbookView xWindow="-120" yWindow="-120" windowWidth="29040" windowHeight="1584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DDI!$A$1:$AO$187</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7" i="4" l="1"/>
  <c r="J188" i="4"/>
  <c r="J189" i="4"/>
  <c r="G187" i="4"/>
  <c r="G188" i="4"/>
  <c r="G189" i="4"/>
  <c r="B187" i="4"/>
  <c r="C187" i="4"/>
  <c r="D187" i="4"/>
  <c r="E187"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7" i="4"/>
  <c r="O186" i="4"/>
  <c r="B655" i="9"/>
  <c r="C655" i="9"/>
  <c r="D655" i="9"/>
  <c r="E655" i="9"/>
  <c r="B656" i="9"/>
  <c r="C656" i="9"/>
  <c r="D656" i="9"/>
  <c r="E656" i="9"/>
  <c r="B657" i="9"/>
  <c r="C657" i="9"/>
  <c r="D657" i="9"/>
  <c r="E657" i="9"/>
  <c r="J185" i="4"/>
  <c r="J186" i="4"/>
  <c r="G186" i="4"/>
  <c r="B186" i="4"/>
  <c r="C186" i="4"/>
  <c r="D186" i="4"/>
  <c r="E186"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<sst xmlns="http://schemas.openxmlformats.org/spreadsheetml/2006/main" count="71128" uniqueCount="3202">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</sst>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026"/>
  <sheetViews>
    <sheetView zoomScale="90" zoomScaleNormal="90" workbookViewId="0">
      <pane xSplit="5" ySplit="2" topLeftCell="F990" activePane="bottomRight" state="frozen"/>
      <selection pane="topRight" activeCell="E1" sqref="E1"/>
      <selection pane="bottomLeft" activeCell="A3" sqref="A3"/>
      <selection pane="bottomRight" activeCell="D1026" sqref="D1026"/>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83"/>
  <sheetViews>
    <sheetView zoomScale="90" zoomScaleNormal="90" workbookViewId="0">
      <pane xSplit="5" ySplit="1" topLeftCell="F644" activePane="bottomRight" state="frozen"/>
      <selection pane="topRight" activeCell="F1" sqref="F1"/>
      <selection pane="bottomLeft" activeCell="A2" sqref="A2"/>
      <selection pane="bottomRight" activeCell="B684" sqref="B684"/>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93"/>
  <sheetViews>
    <sheetView zoomScale="115" zoomScaleNormal="115" workbookViewId="0">
      <pane ySplit="1" topLeftCell="A9862" activePane="bottomLeft" state="frozen"/>
      <selection pane="bottomLeft" activeCell="B9894" sqref="B9894"/>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5"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5"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5"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5"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5"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80" zoomScaleNormal="80" workbookViewId="0">
      <pane xSplit="4" ySplit="1" topLeftCell="E163" activePane="bottomRight" state="frozen"/>
      <selection pane="topRight" activeCell="E1" sqref="E1"/>
      <selection pane="bottomLeft" activeCell="A2" sqref="A2"/>
      <selection pane="bottomRight" activeCell="A190" sqref="A190"/>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3062</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3062</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3062</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3062</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3062</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3062</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3062</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3062</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3062</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3062</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3062</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3062</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3062</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3062</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3062</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3062</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39" x14ac:dyDescent="0.2">
      <c r="A186" s="30">
        <v>204</v>
      </c>
      <c r="B186" s="204" t="str">
        <f>IF(AND(A186&lt;&gt;"",ISNUMBER(A186)),VLOOKUP(A186,Studies!A:BR,2,FALSE),"")</f>
        <v>Wiesinger 2020</v>
      </c>
      <c r="C186" s="204" t="str">
        <f>IF(AND(A186&lt;&gt;"",ISNUMBER(A186)),VLOOKUP(A186,Studies!A:BR,3,FALSE),"")</f>
        <v>https://www.ncbi.nlm.nih.gov/pubmed/32275771</v>
      </c>
      <c r="D186" s="204" t="str">
        <f>IF(AND(A186&lt;&gt;"",ISNUMBER(A186)),VLOOKUP(A186,Studies!A:BR,4,FALSE),"")</f>
        <v>Weak-induction phase (RIF 10 mg)</v>
      </c>
      <c r="E186" s="139" t="str">
        <f>IF(AND(A186&lt;&gt;"",ISNUMBER(A186)),VLOOKUP(A186,Studies!A:BR,5,FALSE),"")</f>
        <v>Midazolam</v>
      </c>
      <c r="F186" s="42" t="s">
        <v>53</v>
      </c>
      <c r="G186" s="205" t="str">
        <f>IF(AND(A186&lt;&gt;"",ISNUMBER(A186)),VLOOKUP(A186,Studies!A:BR,13,FALSE),"")</f>
        <v>PO</v>
      </c>
      <c r="H186" s="138" t="s">
        <v>58</v>
      </c>
      <c r="I186" s="138" t="s">
        <v>3062</v>
      </c>
      <c r="J186" s="205" t="str">
        <f>IF(AND(A186&lt;&gt;"",ISNUMBER(A186)),VLOOKUP(A186,Studies!A:BR,6,FALSE),"")</f>
        <v>Plasma</v>
      </c>
      <c r="K186" s="43">
        <v>0.53900000000000003</v>
      </c>
      <c r="L186" s="187" t="s">
        <v>2683</v>
      </c>
      <c r="M186" s="76" t="s">
        <v>3074</v>
      </c>
      <c r="N186" s="201" t="s">
        <v>1155</v>
      </c>
      <c r="O186" s="52">
        <f>3.1/4.9</f>
        <v>0.63265306122448972</v>
      </c>
      <c r="P186" s="193" t="s">
        <v>1099</v>
      </c>
      <c r="S186" s="38">
        <v>0</v>
      </c>
      <c r="T186" s="39">
        <v>9999</v>
      </c>
      <c r="U186" s="40">
        <v>180</v>
      </c>
      <c r="V186" s="41">
        <v>444</v>
      </c>
      <c r="W186" s="42" t="s">
        <v>59</v>
      </c>
      <c r="Y186" s="22">
        <v>10</v>
      </c>
      <c r="AA186" s="180" t="s">
        <v>57</v>
      </c>
      <c r="AB186" s="176" t="s">
        <v>58</v>
      </c>
      <c r="AC186" s="22" t="s">
        <v>3075</v>
      </c>
      <c r="AD186" s="22" t="s">
        <v>59</v>
      </c>
      <c r="AE186" s="176" t="s">
        <v>3076</v>
      </c>
      <c r="AF186" s="176" t="s">
        <v>3077</v>
      </c>
      <c r="AH186" s="177" t="s">
        <v>3071</v>
      </c>
    </row>
    <row r="187" spans="1:39" x14ac:dyDescent="0.2">
      <c r="A187" s="30">
        <v>205</v>
      </c>
      <c r="B187" s="204" t="str">
        <f>IF(AND(A187&lt;&gt;"",ISNUMBER(A187)),VLOOKUP(A187,Studies!A:BR,2,FALSE),"")</f>
        <v>Wiesinger 2020</v>
      </c>
      <c r="C187" s="204" t="str">
        <f>IF(AND(A187&lt;&gt;"",ISNUMBER(A187)),VLOOKUP(A187,Studies!A:BR,3,FALSE),"")</f>
        <v>https://www.ncbi.nlm.nih.gov/pubmed/32275771</v>
      </c>
      <c r="D187" s="204" t="str">
        <f>IF(AND(A187&lt;&gt;"",ISNUMBER(A187)),VLOOKUP(A187,Studies!A:BR,4,FALSE),"")</f>
        <v>Strong-induction phase (RIF 600 mg)</v>
      </c>
      <c r="E187" s="139" t="str">
        <f>IF(AND(A187&lt;&gt;"",ISNUMBER(A187)),VLOOKUP(A187,Studies!A:BR,5,FALSE),"")</f>
        <v>Midazolam</v>
      </c>
      <c r="F187" s="186" t="s">
        <v>53</v>
      </c>
      <c r="G187" s="205" t="str">
        <f>IF(AND(A187&lt;&gt;"",ISNUMBER(A187)),VLOOKUP(A187,Studies!A:BR,13,FALSE),"")</f>
        <v>PO</v>
      </c>
      <c r="H187" s="138" t="s">
        <v>58</v>
      </c>
      <c r="I187" s="138" t="s">
        <v>3062</v>
      </c>
      <c r="J187" s="205" t="str">
        <f>IF(AND(A187&lt;&gt;"",ISNUMBER(A187)),VLOOKUP(A187,Studies!A:BR,6,FALSE),"")</f>
        <v>Plasma</v>
      </c>
      <c r="K187" s="43">
        <v>0.13700000000000001</v>
      </c>
      <c r="L187" s="43" t="s">
        <v>2683</v>
      </c>
      <c r="M187" s="76" t="s">
        <v>3073</v>
      </c>
      <c r="N187" s="76" t="s">
        <v>1155</v>
      </c>
      <c r="O187" s="52">
        <f>0.919/4.9</f>
        <v>0.18755102040816327</v>
      </c>
      <c r="P187" s="193" t="s">
        <v>1099</v>
      </c>
      <c r="S187" s="38">
        <v>0</v>
      </c>
      <c r="T187" s="183">
        <v>9999</v>
      </c>
      <c r="U187" s="40">
        <v>444</v>
      </c>
      <c r="V187" s="41">
        <v>9999</v>
      </c>
      <c r="W187" s="42" t="s">
        <v>59</v>
      </c>
      <c r="Y187" s="22">
        <v>600</v>
      </c>
      <c r="AA187" s="180" t="s">
        <v>57</v>
      </c>
      <c r="AB187" s="176" t="s">
        <v>58</v>
      </c>
      <c r="AC187" s="176" t="s">
        <v>3075</v>
      </c>
      <c r="AD187" s="22" t="s">
        <v>59</v>
      </c>
      <c r="AE187" s="176" t="s">
        <v>3076</v>
      </c>
      <c r="AF187" s="176" t="s">
        <v>3077</v>
      </c>
      <c r="AH187" s="177" t="s">
        <v>3072</v>
      </c>
    </row>
    <row r="188" spans="1:39"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39"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7"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88"/>
  <sheetViews>
    <sheetView tabSelected="1" zoomScale="85" zoomScaleNormal="85" workbookViewId="0">
      <pane ySplit="1" topLeftCell="A965" activePane="bottomLeft" state="frozen"/>
      <selection pane="bottomLeft" activeCell="F989" sqref="F989"/>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382</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3195</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382</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3195</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2020-06-08T10:38:11Z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