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104B2737-30FC-4524-8A03-818C88A24C46}" xr6:coauthVersionLast="41" xr6:coauthVersionMax="41" xr10:uidLastSave="{00000000-0000-0000-0000-000000000000}"/>
  <bookViews>
    <workbookView xWindow="-28920" yWindow="-120" windowWidth="29040" windowHeight="15840" tabRatio="63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DDI!$A$1:$AO$187</definedName>
    <definedName name="_xlnm._FilterDatabase" localSheetId="1" hidden="1">'PK-Parameter'!$A$1:$AD$654</definedName>
    <definedName name="_xlnm._FilterDatabase" localSheetId="2" hidden="1">'PK-Profiles'!$A$1:$Q$9510</definedName>
    <definedName name="_xlnm._FilterDatabase" localSheetId="6" hidden="1">Projects!$A$1:$F$944</definedName>
    <definedName name="_xlnm._FilterDatabase" localSheetId="0" hidden="1">Studies!$A$2:$BR$994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187" i="4" l="1"/>
  <c r="J188" i="4"/>
  <c r="J189" i="4"/>
  <c r="G187" i="4"/>
  <c r="G188" i="4"/>
  <c r="G189" i="4"/>
  <c r="B187" i="4"/>
  <c r="C187" i="4"/>
  <c r="D187" i="4"/>
  <c r="E187"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7" i="4"/>
  <c r="O186" i="4"/>
  <c r="B655" i="9"/>
  <c r="C655" i="9"/>
  <c r="D655" i="9"/>
  <c r="E655" i="9"/>
  <c r="B656" i="9"/>
  <c r="C656" i="9"/>
  <c r="D656" i="9"/>
  <c r="E656" i="9"/>
  <c r="B657" i="9"/>
  <c r="C657" i="9"/>
  <c r="D657" i="9"/>
  <c r="E657" i="9"/>
  <c r="J185" i="4"/>
  <c r="J186" i="4"/>
  <c r="G186" i="4"/>
  <c r="B186" i="4"/>
  <c r="C186" i="4"/>
  <c r="D186" i="4"/>
  <c r="E186"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4" i="4"/>
  <c r="K183" i="4"/>
  <c r="K182" i="4"/>
  <c r="K181" i="4"/>
  <c r="K180" i="4"/>
  <c r="K179" i="4"/>
  <c r="E179" i="4"/>
  <c r="G179" i="4"/>
  <c r="J179" i="4"/>
  <c r="E180" i="4"/>
  <c r="G180" i="4"/>
  <c r="J180" i="4"/>
  <c r="E181" i="4"/>
  <c r="G181" i="4"/>
  <c r="J181" i="4"/>
  <c r="E182" i="4"/>
  <c r="G182" i="4"/>
  <c r="J182" i="4"/>
  <c r="E183" i="4"/>
  <c r="G183" i="4"/>
  <c r="J183" i="4"/>
  <c r="E184" i="4"/>
  <c r="G184" i="4"/>
  <c r="J184" i="4"/>
  <c r="B179" i="4"/>
  <c r="C179" i="4"/>
  <c r="D179" i="4"/>
  <c r="B180" i="4"/>
  <c r="C180" i="4"/>
  <c r="D180" i="4"/>
  <c r="B181" i="4"/>
  <c r="C181" i="4"/>
  <c r="D181" i="4"/>
  <c r="B182" i="4"/>
  <c r="C182" i="4"/>
  <c r="D182" i="4"/>
  <c r="B183" i="4"/>
  <c r="C183" i="4"/>
  <c r="D183" i="4"/>
  <c r="B184" i="4"/>
  <c r="C184" i="4"/>
  <c r="D184"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168" i="4" l="1"/>
  <c r="K168" i="4"/>
  <c r="M166" i="4"/>
  <c r="K166"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49" i="4"/>
  <c r="O148" i="4"/>
  <c r="M149" i="4"/>
  <c r="M148" i="4"/>
  <c r="K149" i="4"/>
  <c r="K148"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78" i="4"/>
  <c r="J79" i="4"/>
  <c r="J80"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60" i="4"/>
  <c r="J61" i="4"/>
  <c r="J77" i="4"/>
  <c r="J76" i="4"/>
  <c r="J87"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138" i="4"/>
  <c r="J139" i="4"/>
  <c r="J121" i="4"/>
  <c r="J122" i="4"/>
  <c r="J133" i="4"/>
  <c r="J134" i="4"/>
  <c r="J135" i="4"/>
  <c r="J136" i="4"/>
  <c r="J125" i="4"/>
  <c r="J126" i="4"/>
  <c r="J123" i="4"/>
  <c r="J144" i="4"/>
  <c r="J147" i="4"/>
  <c r="J124" i="4"/>
  <c r="J155" i="4"/>
  <c r="J156" i="4"/>
  <c r="J157" i="4"/>
  <c r="J165" i="4"/>
  <c r="J166" i="4"/>
  <c r="J167" i="4"/>
  <c r="J168" i="4"/>
  <c r="J153" i="4"/>
  <c r="J159" i="4"/>
  <c r="J160" i="4"/>
  <c r="J161" i="4"/>
  <c r="J162" i="4"/>
  <c r="J163" i="4"/>
  <c r="J164" i="4"/>
  <c r="J148" i="4"/>
  <c r="J149" i="4"/>
  <c r="J150" i="4"/>
  <c r="J151" i="4"/>
  <c r="J152" i="4"/>
  <c r="J158" i="4"/>
  <c r="J145"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138" i="4"/>
  <c r="G139" i="4"/>
  <c r="G121" i="4"/>
  <c r="G122" i="4"/>
  <c r="G133" i="4"/>
  <c r="G134" i="4"/>
  <c r="G135" i="4"/>
  <c r="G136" i="4"/>
  <c r="G125" i="4"/>
  <c r="G126" i="4"/>
  <c r="G123" i="4"/>
  <c r="G144" i="4"/>
  <c r="G147" i="4"/>
  <c r="G124" i="4"/>
  <c r="G155" i="4"/>
  <c r="G156" i="4"/>
  <c r="G157" i="4"/>
  <c r="G165" i="4"/>
  <c r="G166" i="4"/>
  <c r="G167" i="4"/>
  <c r="G168" i="4"/>
  <c r="G153" i="4"/>
  <c r="G159" i="4"/>
  <c r="G160" i="4"/>
  <c r="G161" i="4"/>
  <c r="G162" i="4"/>
  <c r="G163" i="4"/>
  <c r="G164" i="4"/>
  <c r="G148" i="4"/>
  <c r="G149" i="4"/>
  <c r="G150" i="4"/>
  <c r="G151" i="4"/>
  <c r="G152" i="4"/>
  <c r="G158" i="4"/>
  <c r="G145"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138" i="4"/>
  <c r="E139" i="4"/>
  <c r="E121" i="4"/>
  <c r="E122" i="4"/>
  <c r="E133" i="4"/>
  <c r="E134" i="4"/>
  <c r="E135" i="4"/>
  <c r="E136" i="4"/>
  <c r="E125" i="4"/>
  <c r="E126" i="4"/>
  <c r="E123" i="4"/>
  <c r="E144" i="4"/>
  <c r="E147" i="4"/>
  <c r="E124" i="4"/>
  <c r="E155" i="4"/>
  <c r="E156" i="4"/>
  <c r="E157" i="4"/>
  <c r="E165" i="4"/>
  <c r="E166" i="4"/>
  <c r="E167" i="4"/>
  <c r="E168" i="4"/>
  <c r="E153" i="4"/>
  <c r="E159" i="4"/>
  <c r="E160" i="4"/>
  <c r="E161" i="4"/>
  <c r="E162" i="4"/>
  <c r="E163" i="4"/>
  <c r="E164" i="4"/>
  <c r="E148" i="4"/>
  <c r="E149"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138" i="4"/>
  <c r="C138" i="4"/>
  <c r="D138" i="4"/>
  <c r="B139" i="4"/>
  <c r="C139" i="4"/>
  <c r="D139" i="4"/>
  <c r="B121" i="4"/>
  <c r="C121" i="4"/>
  <c r="D121" i="4"/>
  <c r="B122" i="4"/>
  <c r="C122" i="4"/>
  <c r="D122" i="4"/>
  <c r="B133" i="4"/>
  <c r="C133" i="4"/>
  <c r="D133" i="4"/>
  <c r="B134" i="4"/>
  <c r="C134" i="4"/>
  <c r="D134" i="4"/>
  <c r="B135" i="4"/>
  <c r="C135" i="4"/>
  <c r="D135" i="4"/>
  <c r="B136" i="4"/>
  <c r="C136" i="4"/>
  <c r="D136"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166" i="4"/>
  <c r="C166" i="4"/>
  <c r="D166" i="4"/>
  <c r="B167" i="4"/>
  <c r="C167" i="4"/>
  <c r="D167" i="4"/>
  <c r="B168" i="4"/>
  <c r="C168" i="4"/>
  <c r="D168" i="4"/>
  <c r="B153" i="4"/>
  <c r="C153" i="4"/>
  <c r="D153" i="4"/>
  <c r="B159" i="4"/>
  <c r="C159" i="4"/>
  <c r="D159" i="4"/>
  <c r="B160" i="4"/>
  <c r="C160" i="4"/>
  <c r="D160" i="4"/>
  <c r="B161" i="4"/>
  <c r="C161" i="4"/>
  <c r="D161" i="4"/>
  <c r="B162" i="4"/>
  <c r="C162" i="4"/>
  <c r="D162" i="4"/>
  <c r="B163" i="4"/>
  <c r="C163" i="4"/>
  <c r="D163" i="4"/>
  <c r="B164" i="4"/>
  <c r="C164" i="4"/>
  <c r="D164" i="4"/>
  <c r="B148" i="4"/>
  <c r="C148" i="4"/>
  <c r="D148" i="4"/>
  <c r="B149" i="4"/>
  <c r="C149" i="4"/>
  <c r="D149"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36" i="4" l="1"/>
  <c r="O136" i="4"/>
  <c r="M136" i="4"/>
  <c r="M134" i="4"/>
  <c r="K136" i="4"/>
  <c r="S559" i="9"/>
  <c r="P559" i="9"/>
  <c r="L559" i="9"/>
  <c r="I559" i="9"/>
  <c r="K134"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K71" i="4"/>
  <c r="K74" i="4"/>
  <c r="K91" i="4"/>
  <c r="G270" i="9"/>
  <c r="G273" i="9"/>
  <c r="O3" i="4"/>
  <c r="O17" i="4"/>
  <c r="K16" i="4"/>
  <c r="K15" i="4"/>
  <c r="U28" i="4"/>
  <c r="K29" i="4"/>
  <c r="K28" i="4"/>
  <c r="K87" i="4"/>
  <c r="U87"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<sst xmlns="http://schemas.openxmlformats.org/spreadsheetml/2006/main" count="70963" uniqueCount="3196">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</sst>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13" fillId="0" borderId="0" xfId="4"/>
    <xf numFmtId="166" fontId="7" fillId="11" borderId="0" xfId="0" applyNumberFormat="1" applyFont="1" applyFill="1"/>
    <xf numFmtId="0" fontId="7" fillId="10" borderId="0" xfId="0" applyFont="1" applyFill="1" applyAlignment="1">
      <alignment horizontal="left"/>
    </xf>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comments" Target="../comments1.xm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vmlDrawing" Target="../drawings/vmlDrawing1.vm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printerSettings" Target="../printerSettings/printerSettings1.bin"/><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023"/>
  <sheetViews>
    <sheetView tabSelected="1" zoomScale="90" zoomScaleNormal="90" workbookViewId="0">
      <pane xSplit="5" ySplit="2" topLeftCell="X990" activePane="bottomRight" state="frozen"/>
      <selection pane="topRight" activeCell="E1" sqref="E1"/>
      <selection pane="bottomLeft" activeCell="A3" sqref="A3"/>
      <selection pane="bottomRight" activeCell="A1024" sqref="A1024"/>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row r="995" spans="1:70" ht="14.25" x14ac:dyDescent="0.2">
      <c r="A995" s="91">
        <v>203</v>
      </c>
      <c r="B995" s="229" t="s">
        <v>3065</v>
      </c>
      <c r="C995" s="266" t="s">
        <v>3066</v>
      </c>
      <c r="D995" s="229" t="s">
        <v>3069</v>
      </c>
      <c r="E995" s="123" t="s">
        <v>101</v>
      </c>
      <c r="F995" s="179" t="s">
        <v>102</v>
      </c>
      <c r="G995" s="179" t="s">
        <v>55</v>
      </c>
      <c r="H995" s="273" t="s">
        <v>3079</v>
      </c>
      <c r="J995" s="22">
        <v>1</v>
      </c>
      <c r="L995" s="180" t="s">
        <v>57</v>
      </c>
      <c r="M995" s="22" t="s">
        <v>58</v>
      </c>
      <c r="N995" s="22">
        <v>0</v>
      </c>
      <c r="O995" s="176" t="s">
        <v>59</v>
      </c>
      <c r="P995" s="176" t="s">
        <v>78</v>
      </c>
      <c r="R995" s="23" t="s">
        <v>3070</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3065</v>
      </c>
      <c r="C996" s="266" t="s">
        <v>3066</v>
      </c>
      <c r="D996" s="229" t="s">
        <v>3067</v>
      </c>
      <c r="E996" s="123" t="s">
        <v>101</v>
      </c>
      <c r="F996" s="179" t="s">
        <v>102</v>
      </c>
      <c r="G996" s="179" t="s">
        <v>55</v>
      </c>
      <c r="H996" s="273" t="s">
        <v>3079</v>
      </c>
      <c r="J996" s="22">
        <v>1</v>
      </c>
      <c r="L996" s="180" t="s">
        <v>57</v>
      </c>
      <c r="M996" s="176" t="s">
        <v>58</v>
      </c>
      <c r="N996" s="22">
        <v>180</v>
      </c>
      <c r="O996" s="176" t="s">
        <v>59</v>
      </c>
      <c r="P996" s="176" t="s">
        <v>78</v>
      </c>
      <c r="R996" s="177" t="s">
        <v>3070</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3065</v>
      </c>
      <c r="C997" s="266" t="s">
        <v>3066</v>
      </c>
      <c r="D997" s="229" t="s">
        <v>3068</v>
      </c>
      <c r="E997" s="123" t="s">
        <v>101</v>
      </c>
      <c r="F997" s="179" t="s">
        <v>102</v>
      </c>
      <c r="G997" s="179" t="s">
        <v>55</v>
      </c>
      <c r="H997" s="273" t="s">
        <v>3079</v>
      </c>
      <c r="J997" s="22">
        <v>1</v>
      </c>
      <c r="L997" s="180" t="s">
        <v>57</v>
      </c>
      <c r="M997" s="176" t="s">
        <v>58</v>
      </c>
      <c r="N997" s="176">
        <v>444</v>
      </c>
      <c r="O997" s="176" t="s">
        <v>59</v>
      </c>
      <c r="P997" s="176" t="s">
        <v>78</v>
      </c>
      <c r="R997" s="177" t="s">
        <v>3070</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
      <c r="A998" s="91">
        <v>2055</v>
      </c>
      <c r="B998" s="229" t="s">
        <v>3080</v>
      </c>
      <c r="C998" s="259" t="s">
        <v>3081</v>
      </c>
      <c r="D998" s="229" t="s">
        <v>3082</v>
      </c>
      <c r="E998" s="3" t="s">
        <v>382</v>
      </c>
      <c r="F998" s="26" t="s">
        <v>54</v>
      </c>
      <c r="G998" s="26" t="s">
        <v>55</v>
      </c>
      <c r="H998" s="26" t="s">
        <v>56</v>
      </c>
      <c r="J998" s="22">
        <v>10</v>
      </c>
      <c r="L998" s="28" t="s">
        <v>57</v>
      </c>
      <c r="M998" s="22" t="s">
        <v>77</v>
      </c>
      <c r="N998" s="22">
        <v>0</v>
      </c>
      <c r="O998" s="22" t="s">
        <v>59</v>
      </c>
      <c r="P998" s="22" t="s">
        <v>78</v>
      </c>
      <c r="Q998" s="23" t="s">
        <v>2656</v>
      </c>
      <c r="R998" s="23" t="s">
        <v>3083</v>
      </c>
      <c r="S998" s="24">
        <v>10</v>
      </c>
      <c r="V998" s="25" t="s">
        <v>613</v>
      </c>
      <c r="W998" s="65" t="s">
        <v>653</v>
      </c>
      <c r="Z998" s="83" t="s">
        <v>62</v>
      </c>
      <c r="AA998" s="6">
        <v>6</v>
      </c>
      <c r="AB998" s="6">
        <v>2</v>
      </c>
      <c r="AD998" s="5" t="s">
        <v>79</v>
      </c>
      <c r="AI998" s="5">
        <v>24</v>
      </c>
      <c r="AJ998" s="5">
        <v>37</v>
      </c>
      <c r="BQ998" s="6" t="s">
        <v>213</v>
      </c>
      <c r="BR998" s="5" t="s">
        <v>3084</v>
      </c>
    </row>
    <row r="999" spans="1:70" x14ac:dyDescent="0.2">
      <c r="A999" s="91">
        <v>2056</v>
      </c>
      <c r="B999" s="229" t="s">
        <v>3080</v>
      </c>
      <c r="C999" s="259" t="s">
        <v>3081</v>
      </c>
      <c r="D999" s="229" t="s">
        <v>3085</v>
      </c>
      <c r="E999" s="3" t="s">
        <v>382</v>
      </c>
      <c r="F999" s="26" t="s">
        <v>54</v>
      </c>
      <c r="G999" s="26" t="s">
        <v>55</v>
      </c>
      <c r="H999" s="26" t="s">
        <v>56</v>
      </c>
      <c r="J999" s="22">
        <v>10</v>
      </c>
      <c r="L999" s="28" t="s">
        <v>57</v>
      </c>
      <c r="M999" s="22" t="s">
        <v>77</v>
      </c>
      <c r="N999" s="22">
        <v>300</v>
      </c>
      <c r="O999" s="22" t="s">
        <v>59</v>
      </c>
      <c r="P999" s="22" t="s">
        <v>78</v>
      </c>
      <c r="Q999" s="23" t="s">
        <v>2656</v>
      </c>
      <c r="R999" s="23" t="s">
        <v>3083</v>
      </c>
      <c r="S999" s="24">
        <v>10</v>
      </c>
      <c r="V999" s="25" t="s">
        <v>613</v>
      </c>
      <c r="W999" s="65" t="s">
        <v>653</v>
      </c>
      <c r="Z999" s="83" t="s">
        <v>62</v>
      </c>
      <c r="AA999" s="6">
        <v>6</v>
      </c>
      <c r="AB999" s="6">
        <v>2</v>
      </c>
      <c r="AD999" s="5" t="s">
        <v>79</v>
      </c>
      <c r="AI999" s="5">
        <v>24</v>
      </c>
      <c r="AJ999" s="5">
        <v>37</v>
      </c>
      <c r="BQ999" s="6" t="s">
        <v>213</v>
      </c>
      <c r="BR999" s="5" t="s">
        <v>3084</v>
      </c>
    </row>
    <row r="1000" spans="1:70" x14ac:dyDescent="0.2">
      <c r="A1000" s="91">
        <v>2057</v>
      </c>
      <c r="B1000" s="229" t="s">
        <v>3080</v>
      </c>
      <c r="C1000" s="259" t="s">
        <v>3081</v>
      </c>
      <c r="D1000" s="229" t="s">
        <v>3086</v>
      </c>
      <c r="E1000" s="3" t="s">
        <v>382</v>
      </c>
      <c r="F1000" s="26" t="s">
        <v>54</v>
      </c>
      <c r="G1000" s="26" t="s">
        <v>55</v>
      </c>
      <c r="H1000" s="26" t="s">
        <v>65</v>
      </c>
      <c r="J1000" s="22">
        <v>120</v>
      </c>
      <c r="L1000" s="28" t="s">
        <v>57</v>
      </c>
      <c r="M1000" s="22" t="s">
        <v>58</v>
      </c>
      <c r="N1000" s="22">
        <v>0</v>
      </c>
      <c r="O1000" s="22" t="s">
        <v>59</v>
      </c>
      <c r="P1000" s="22" t="s">
        <v>78</v>
      </c>
      <c r="Q1000" s="23" t="s">
        <v>2656</v>
      </c>
      <c r="R1000" s="23" t="s">
        <v>100</v>
      </c>
      <c r="V1000" s="25" t="s">
        <v>613</v>
      </c>
      <c r="W1000" s="65" t="s">
        <v>653</v>
      </c>
      <c r="Z1000" s="83" t="s">
        <v>62</v>
      </c>
      <c r="AA1000" s="6">
        <v>6</v>
      </c>
      <c r="AB1000" s="6">
        <v>2</v>
      </c>
      <c r="AD1000" s="5" t="s">
        <v>79</v>
      </c>
      <c r="AI1000" s="5">
        <v>24</v>
      </c>
      <c r="AJ1000" s="5">
        <v>37</v>
      </c>
      <c r="BQ1000" s="6" t="s">
        <v>213</v>
      </c>
      <c r="BR1000" s="5" t="s">
        <v>3084</v>
      </c>
    </row>
    <row r="1001" spans="1:70" x14ac:dyDescent="0.2">
      <c r="A1001" s="91">
        <v>2058</v>
      </c>
      <c r="B1001" s="229" t="s">
        <v>3080</v>
      </c>
      <c r="C1001" s="259" t="s">
        <v>3081</v>
      </c>
      <c r="D1001" s="229" t="s">
        <v>3087</v>
      </c>
      <c r="E1001" s="3" t="s">
        <v>382</v>
      </c>
      <c r="F1001" s="26" t="s">
        <v>54</v>
      </c>
      <c r="G1001" s="26" t="s">
        <v>55</v>
      </c>
      <c r="H1001" s="26" t="s">
        <v>65</v>
      </c>
      <c r="J1001" s="22">
        <v>120</v>
      </c>
      <c r="L1001" s="28" t="s">
        <v>57</v>
      </c>
      <c r="M1001" s="22" t="s">
        <v>58</v>
      </c>
      <c r="N1001" s="22">
        <v>348</v>
      </c>
      <c r="O1001" s="22" t="s">
        <v>59</v>
      </c>
      <c r="P1001" s="22" t="s">
        <v>78</v>
      </c>
      <c r="Q1001" s="23" t="s">
        <v>2656</v>
      </c>
      <c r="R1001" s="23" t="s">
        <v>100</v>
      </c>
      <c r="V1001" s="25" t="s">
        <v>613</v>
      </c>
      <c r="W1001" s="65" t="s">
        <v>653</v>
      </c>
      <c r="Z1001" s="83" t="s">
        <v>62</v>
      </c>
      <c r="AA1001" s="6">
        <v>6</v>
      </c>
      <c r="AB1001" s="6">
        <v>2</v>
      </c>
      <c r="AD1001" s="5" t="s">
        <v>79</v>
      </c>
      <c r="AI1001" s="5">
        <v>24</v>
      </c>
      <c r="AJ1001" s="5">
        <v>37</v>
      </c>
      <c r="BQ1001" s="6" t="s">
        <v>213</v>
      </c>
      <c r="BR1001" s="5" t="s">
        <v>3084</v>
      </c>
    </row>
    <row r="1002" spans="1:70" x14ac:dyDescent="0.2">
      <c r="A1002" s="91">
        <v>2059</v>
      </c>
      <c r="B1002" s="229" t="s">
        <v>3088</v>
      </c>
      <c r="C1002" s="259" t="s">
        <v>3089</v>
      </c>
      <c r="D1002" s="229" t="s">
        <v>3090</v>
      </c>
      <c r="E1002" s="3" t="s">
        <v>382</v>
      </c>
      <c r="F1002" s="26" t="s">
        <v>102</v>
      </c>
      <c r="G1002" s="26" t="s">
        <v>55</v>
      </c>
      <c r="H1002" s="26" t="s">
        <v>56</v>
      </c>
      <c r="J1002" s="22">
        <v>0.1</v>
      </c>
      <c r="L1002" s="28" t="s">
        <v>106</v>
      </c>
      <c r="M1002" s="22" t="s">
        <v>77</v>
      </c>
      <c r="N1002" s="22">
        <v>0</v>
      </c>
      <c r="O1002" s="22" t="s">
        <v>59</v>
      </c>
      <c r="P1002" s="22" t="s">
        <v>78</v>
      </c>
      <c r="Q1002" s="23" t="s">
        <v>2656</v>
      </c>
      <c r="R1002" s="23" t="s">
        <v>3083</v>
      </c>
      <c r="S1002" s="24">
        <v>5</v>
      </c>
      <c r="V1002" s="25" t="s">
        <v>61</v>
      </c>
      <c r="W1002" s="65" t="s">
        <v>3091</v>
      </c>
      <c r="X1002" s="106" t="s">
        <v>3092</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1857</v>
      </c>
      <c r="BR1002" s="5" t="s">
        <v>3093</v>
      </c>
    </row>
    <row r="1003" spans="1:70" x14ac:dyDescent="0.2">
      <c r="A1003" s="91">
        <v>2060</v>
      </c>
      <c r="B1003" s="229" t="s">
        <v>3088</v>
      </c>
      <c r="C1003" s="259" t="s">
        <v>3089</v>
      </c>
      <c r="D1003" s="229" t="s">
        <v>3094</v>
      </c>
      <c r="E1003" s="3" t="s">
        <v>382</v>
      </c>
      <c r="F1003" s="26" t="s">
        <v>102</v>
      </c>
      <c r="G1003" s="26" t="s">
        <v>55</v>
      </c>
      <c r="H1003" s="26" t="s">
        <v>65</v>
      </c>
      <c r="J1003" s="22">
        <v>120</v>
      </c>
      <c r="L1003" s="28" t="s">
        <v>57</v>
      </c>
      <c r="M1003" s="22" t="s">
        <v>58</v>
      </c>
      <c r="N1003" s="22">
        <v>0</v>
      </c>
      <c r="O1003" s="22" t="s">
        <v>59</v>
      </c>
      <c r="P1003" s="22" t="s">
        <v>78</v>
      </c>
      <c r="Q1003" s="23" t="s">
        <v>2656</v>
      </c>
      <c r="R1003" s="23" t="s">
        <v>3095</v>
      </c>
      <c r="T1003" s="23">
        <v>200</v>
      </c>
      <c r="V1003" s="25" t="s">
        <v>61</v>
      </c>
      <c r="W1003" s="65" t="s">
        <v>3091</v>
      </c>
      <c r="X1003" s="106" t="s">
        <v>3092</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1857</v>
      </c>
      <c r="BR1003" s="5" t="s">
        <v>3093</v>
      </c>
    </row>
    <row r="1004" spans="1:70" x14ac:dyDescent="0.2">
      <c r="A1004" s="91">
        <v>2061</v>
      </c>
      <c r="B1004" s="229" t="s">
        <v>3096</v>
      </c>
      <c r="C1004" s="259" t="s">
        <v>3097</v>
      </c>
      <c r="D1004" s="229" t="s">
        <v>3098</v>
      </c>
      <c r="E1004" s="3" t="s">
        <v>382</v>
      </c>
      <c r="F1004" s="26" t="s">
        <v>102</v>
      </c>
      <c r="G1004" s="26" t="s">
        <v>55</v>
      </c>
      <c r="H1004" s="26" t="s">
        <v>76</v>
      </c>
      <c r="J1004" s="22">
        <v>10</v>
      </c>
      <c r="L1004" s="28" t="s">
        <v>57</v>
      </c>
      <c r="M1004" s="22" t="s">
        <v>77</v>
      </c>
      <c r="N1004" s="22">
        <v>0</v>
      </c>
      <c r="O1004" s="22" t="s">
        <v>59</v>
      </c>
      <c r="P1004" s="22" t="s">
        <v>78</v>
      </c>
      <c r="Q1004" s="23" t="s">
        <v>2656</v>
      </c>
      <c r="R1004" s="23" t="s">
        <v>3083</v>
      </c>
      <c r="S1004" s="24">
        <v>5</v>
      </c>
      <c r="Z1004" s="83" t="s">
        <v>62</v>
      </c>
      <c r="AA1004" s="6">
        <v>20</v>
      </c>
      <c r="AB1004" s="6">
        <v>0</v>
      </c>
      <c r="AC1004" s="5">
        <v>25.2</v>
      </c>
      <c r="AD1004" s="5" t="s">
        <v>79</v>
      </c>
      <c r="AE1004" s="5" t="s">
        <v>334</v>
      </c>
      <c r="AF1004" s="5">
        <v>3.6</v>
      </c>
      <c r="AG1004" s="5" t="s">
        <v>79</v>
      </c>
      <c r="AH1004" s="5" t="s">
        <v>116</v>
      </c>
      <c r="AI1004" s="5">
        <v>21</v>
      </c>
      <c r="AJ1004" s="5">
        <v>34</v>
      </c>
      <c r="BQ1004" s="6" t="s">
        <v>3099</v>
      </c>
      <c r="BR1004" s="5" t="s">
        <v>3100</v>
      </c>
    </row>
    <row r="1005" spans="1:70" x14ac:dyDescent="0.2">
      <c r="A1005" s="91">
        <v>2062</v>
      </c>
      <c r="B1005" s="229" t="s">
        <v>3096</v>
      </c>
      <c r="C1005" s="259" t="s">
        <v>3097</v>
      </c>
      <c r="D1005" s="229" t="s">
        <v>3101</v>
      </c>
      <c r="E1005" s="3" t="s">
        <v>382</v>
      </c>
      <c r="F1005" s="26" t="s">
        <v>102</v>
      </c>
      <c r="G1005" s="26" t="s">
        <v>55</v>
      </c>
      <c r="H1005" s="26" t="s">
        <v>76</v>
      </c>
      <c r="J1005" s="22">
        <v>80</v>
      </c>
      <c r="L1005" s="28" t="s">
        <v>57</v>
      </c>
      <c r="M1005" s="22" t="s">
        <v>58</v>
      </c>
      <c r="N1005" s="22">
        <v>0</v>
      </c>
      <c r="O1005" s="22" t="s">
        <v>59</v>
      </c>
      <c r="P1005" s="22" t="s">
        <v>78</v>
      </c>
      <c r="Q1005" s="23" t="s">
        <v>2656</v>
      </c>
      <c r="R1005" s="23" t="s">
        <v>2810</v>
      </c>
      <c r="Z1005" s="83" t="s">
        <v>62</v>
      </c>
      <c r="AA1005" s="6">
        <v>20</v>
      </c>
      <c r="AB1005" s="6">
        <v>0</v>
      </c>
      <c r="AC1005" s="5">
        <v>25.2</v>
      </c>
      <c r="AD1005" s="5" t="s">
        <v>79</v>
      </c>
      <c r="AE1005" s="5" t="s">
        <v>334</v>
      </c>
      <c r="AF1005" s="5">
        <v>3.6</v>
      </c>
      <c r="AG1005" s="5" t="s">
        <v>79</v>
      </c>
      <c r="AH1005" s="5" t="s">
        <v>116</v>
      </c>
      <c r="AI1005" s="5">
        <v>21</v>
      </c>
      <c r="AJ1005" s="5">
        <v>34</v>
      </c>
      <c r="BQ1005" s="6" t="s">
        <v>3099</v>
      </c>
      <c r="BR1005" s="5" t="s">
        <v>3100</v>
      </c>
    </row>
    <row r="1006" spans="1:70" x14ac:dyDescent="0.2">
      <c r="A1006" s="91">
        <v>2063</v>
      </c>
      <c r="B1006" s="229" t="s">
        <v>3096</v>
      </c>
      <c r="C1006" s="259" t="s">
        <v>3097</v>
      </c>
      <c r="D1006" s="229" t="s">
        <v>3102</v>
      </c>
      <c r="E1006" s="3" t="s">
        <v>382</v>
      </c>
      <c r="F1006" s="26" t="s">
        <v>102</v>
      </c>
      <c r="G1006" s="26" t="s">
        <v>55</v>
      </c>
      <c r="H1006" s="26" t="s">
        <v>76</v>
      </c>
      <c r="J1006" s="22">
        <v>120</v>
      </c>
      <c r="L1006" s="28" t="s">
        <v>57</v>
      </c>
      <c r="M1006" s="22" t="s">
        <v>58</v>
      </c>
      <c r="N1006" s="22">
        <v>0</v>
      </c>
      <c r="O1006" s="22" t="s">
        <v>59</v>
      </c>
      <c r="P1006" s="22" t="s">
        <v>78</v>
      </c>
      <c r="Q1006" s="23" t="s">
        <v>2656</v>
      </c>
      <c r="R1006" s="23" t="s">
        <v>2810</v>
      </c>
      <c r="Z1006" s="83" t="s">
        <v>62</v>
      </c>
      <c r="AA1006" s="6">
        <v>20</v>
      </c>
      <c r="AB1006" s="6">
        <v>0</v>
      </c>
      <c r="AC1006" s="5">
        <v>25.2</v>
      </c>
      <c r="AD1006" s="5" t="s">
        <v>79</v>
      </c>
      <c r="AE1006" s="5" t="s">
        <v>334</v>
      </c>
      <c r="AF1006" s="5">
        <v>3.6</v>
      </c>
      <c r="AG1006" s="5" t="s">
        <v>79</v>
      </c>
      <c r="AH1006" s="5" t="s">
        <v>116</v>
      </c>
      <c r="AI1006" s="5">
        <v>21</v>
      </c>
      <c r="AJ1006" s="5">
        <v>34</v>
      </c>
      <c r="BQ1006" s="6" t="s">
        <v>3099</v>
      </c>
      <c r="BR1006" s="5" t="s">
        <v>3100</v>
      </c>
    </row>
    <row r="1007" spans="1:70" x14ac:dyDescent="0.2">
      <c r="A1007" s="91">
        <v>2064</v>
      </c>
      <c r="B1007" s="229" t="s">
        <v>3096</v>
      </c>
      <c r="C1007" s="259" t="s">
        <v>3097</v>
      </c>
      <c r="D1007" s="229" t="s">
        <v>3103</v>
      </c>
      <c r="E1007" s="3" t="s">
        <v>382</v>
      </c>
      <c r="F1007" s="26" t="s">
        <v>102</v>
      </c>
      <c r="G1007" s="26" t="s">
        <v>55</v>
      </c>
      <c r="H1007" s="26" t="s">
        <v>76</v>
      </c>
      <c r="J1007" s="22">
        <v>160</v>
      </c>
      <c r="L1007" s="28" t="s">
        <v>57</v>
      </c>
      <c r="M1007" s="22" t="s">
        <v>58</v>
      </c>
      <c r="N1007" s="22">
        <v>0</v>
      </c>
      <c r="O1007" s="22" t="s">
        <v>59</v>
      </c>
      <c r="P1007" s="22" t="s">
        <v>78</v>
      </c>
      <c r="Q1007" s="23" t="s">
        <v>2656</v>
      </c>
      <c r="R1007" s="23" t="s">
        <v>2810</v>
      </c>
      <c r="Z1007" s="83" t="s">
        <v>62</v>
      </c>
      <c r="AA1007" s="6">
        <v>20</v>
      </c>
      <c r="AB1007" s="6">
        <v>0</v>
      </c>
      <c r="AC1007" s="5">
        <v>25.2</v>
      </c>
      <c r="AD1007" s="5" t="s">
        <v>79</v>
      </c>
      <c r="AE1007" s="5" t="s">
        <v>334</v>
      </c>
      <c r="AF1007" s="5">
        <v>3.6</v>
      </c>
      <c r="AG1007" s="5" t="s">
        <v>79</v>
      </c>
      <c r="AH1007" s="5" t="s">
        <v>116</v>
      </c>
      <c r="AI1007" s="5">
        <v>21</v>
      </c>
      <c r="AJ1007" s="5">
        <v>34</v>
      </c>
      <c r="BQ1007" s="6" t="s">
        <v>3099</v>
      </c>
      <c r="BR1007" s="5" t="s">
        <v>3100</v>
      </c>
    </row>
    <row r="1008" spans="1:70" x14ac:dyDescent="0.2">
      <c r="A1008" s="91">
        <v>2065</v>
      </c>
      <c r="B1008" s="229" t="s">
        <v>3104</v>
      </c>
      <c r="C1008" s="259" t="s">
        <v>3105</v>
      </c>
      <c r="D1008" s="229" t="s">
        <v>3106</v>
      </c>
      <c r="E1008" s="3" t="s">
        <v>382</v>
      </c>
      <c r="F1008" s="26" t="s">
        <v>102</v>
      </c>
      <c r="G1008" s="26" t="s">
        <v>55</v>
      </c>
      <c r="H1008" s="26" t="s">
        <v>3107</v>
      </c>
      <c r="J1008" s="22">
        <v>0.1</v>
      </c>
      <c r="L1008" s="28" t="s">
        <v>57</v>
      </c>
      <c r="M1008" s="22" t="s">
        <v>58</v>
      </c>
      <c r="N1008" s="22">
        <v>0</v>
      </c>
      <c r="O1008" s="22" t="s">
        <v>59</v>
      </c>
      <c r="P1008" s="22" t="s">
        <v>78</v>
      </c>
      <c r="Q1008" s="23" t="s">
        <v>3108</v>
      </c>
      <c r="R1008" s="23" t="s">
        <v>3109</v>
      </c>
      <c r="T1008" s="23">
        <v>200</v>
      </c>
      <c r="U1008" s="23" t="s">
        <v>3110</v>
      </c>
      <c r="V1008" s="25" t="s">
        <v>613</v>
      </c>
      <c r="W1008" s="65" t="s">
        <v>653</v>
      </c>
      <c r="Y1008" s="25" t="s">
        <v>3111</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3112</v>
      </c>
    </row>
    <row r="1009" spans="1:70" x14ac:dyDescent="0.2">
      <c r="A1009" s="91">
        <v>2066</v>
      </c>
      <c r="B1009" s="229" t="s">
        <v>3104</v>
      </c>
      <c r="C1009" s="259" t="s">
        <v>3105</v>
      </c>
      <c r="D1009" s="229" t="s">
        <v>3113</v>
      </c>
      <c r="E1009" s="3" t="s">
        <v>382</v>
      </c>
      <c r="F1009" s="26" t="s">
        <v>102</v>
      </c>
      <c r="G1009" s="26" t="s">
        <v>55</v>
      </c>
      <c r="H1009" s="26" t="s">
        <v>3107</v>
      </c>
      <c r="J1009" s="22">
        <v>3</v>
      </c>
      <c r="L1009" s="28" t="s">
        <v>57</v>
      </c>
      <c r="M1009" s="22" t="s">
        <v>58</v>
      </c>
      <c r="N1009" s="22">
        <v>0</v>
      </c>
      <c r="O1009" s="22" t="s">
        <v>59</v>
      </c>
      <c r="P1009" s="22" t="s">
        <v>78</v>
      </c>
      <c r="Q1009" s="23" t="s">
        <v>3108</v>
      </c>
      <c r="R1009" s="23" t="s">
        <v>3109</v>
      </c>
      <c r="T1009" s="23">
        <v>200</v>
      </c>
      <c r="U1009" s="23" t="s">
        <v>3110</v>
      </c>
      <c r="V1009" s="25" t="s">
        <v>613</v>
      </c>
      <c r="W1009" s="65" t="s">
        <v>653</v>
      </c>
      <c r="Y1009" s="25" t="s">
        <v>3111</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3112</v>
      </c>
    </row>
    <row r="1010" spans="1:70" x14ac:dyDescent="0.2">
      <c r="A1010" s="91">
        <v>2067</v>
      </c>
      <c r="B1010" s="229" t="s">
        <v>3104</v>
      </c>
      <c r="C1010" s="259" t="s">
        <v>3105</v>
      </c>
      <c r="D1010" s="229" t="s">
        <v>3114</v>
      </c>
      <c r="E1010" s="3" t="s">
        <v>382</v>
      </c>
      <c r="F1010" s="26" t="s">
        <v>102</v>
      </c>
      <c r="G1010" s="26" t="s">
        <v>55</v>
      </c>
      <c r="H1010" s="26" t="s">
        <v>3107</v>
      </c>
      <c r="J1010" s="22">
        <v>16</v>
      </c>
      <c r="L1010" s="28" t="s">
        <v>57</v>
      </c>
      <c r="M1010" s="22" t="s">
        <v>58</v>
      </c>
      <c r="N1010" s="22">
        <v>0</v>
      </c>
      <c r="O1010" s="22" t="s">
        <v>59</v>
      </c>
      <c r="P1010" s="22" t="s">
        <v>78</v>
      </c>
      <c r="Q1010" s="23" t="s">
        <v>3108</v>
      </c>
      <c r="R1010" s="23" t="s">
        <v>3109</v>
      </c>
      <c r="T1010" s="23">
        <v>200</v>
      </c>
      <c r="U1010" s="23" t="s">
        <v>3110</v>
      </c>
      <c r="V1010" s="25" t="s">
        <v>613</v>
      </c>
      <c r="W1010" s="65" t="s">
        <v>653</v>
      </c>
      <c r="Y1010" s="25" t="s">
        <v>3111</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3112</v>
      </c>
    </row>
    <row r="1011" spans="1:70" x14ac:dyDescent="0.2">
      <c r="A1011" s="91">
        <v>2068</v>
      </c>
      <c r="B1011" s="229" t="s">
        <v>3104</v>
      </c>
      <c r="C1011" s="259" t="s">
        <v>3105</v>
      </c>
      <c r="D1011" s="229" t="s">
        <v>3115</v>
      </c>
      <c r="E1011" s="3" t="s">
        <v>382</v>
      </c>
      <c r="F1011" s="26" t="s">
        <v>102</v>
      </c>
      <c r="G1011" s="26" t="s">
        <v>55</v>
      </c>
      <c r="H1011" s="26" t="s">
        <v>3107</v>
      </c>
      <c r="J1011" s="22">
        <v>80</v>
      </c>
      <c r="L1011" s="28" t="s">
        <v>57</v>
      </c>
      <c r="M1011" s="22" t="s">
        <v>58</v>
      </c>
      <c r="N1011" s="22">
        <v>0</v>
      </c>
      <c r="O1011" s="22" t="s">
        <v>59</v>
      </c>
      <c r="P1011" s="22" t="s">
        <v>78</v>
      </c>
      <c r="Q1011" s="23" t="s">
        <v>3108</v>
      </c>
      <c r="R1011" s="23" t="s">
        <v>3109</v>
      </c>
      <c r="T1011" s="23">
        <v>200</v>
      </c>
      <c r="U1011" s="23" t="s">
        <v>3110</v>
      </c>
      <c r="V1011" s="25" t="s">
        <v>613</v>
      </c>
      <c r="W1011" s="65" t="s">
        <v>653</v>
      </c>
      <c r="Y1011" s="25" t="s">
        <v>3111</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3112</v>
      </c>
    </row>
    <row r="1012" spans="1:70" x14ac:dyDescent="0.2">
      <c r="A1012" s="91">
        <v>2069</v>
      </c>
      <c r="B1012" s="229" t="s">
        <v>3116</v>
      </c>
      <c r="C1012" s="259" t="s">
        <v>3117</v>
      </c>
      <c r="D1012" s="229" t="s">
        <v>3118</v>
      </c>
      <c r="E1012" s="3" t="s">
        <v>382</v>
      </c>
      <c r="F1012" s="26" t="s">
        <v>102</v>
      </c>
      <c r="G1012" s="26" t="s">
        <v>55</v>
      </c>
      <c r="H1012" s="26" t="s">
        <v>56</v>
      </c>
      <c r="J1012" s="22">
        <v>120</v>
      </c>
      <c r="L1012" s="28" t="s">
        <v>57</v>
      </c>
      <c r="M1012" s="22" t="s">
        <v>58</v>
      </c>
      <c r="N1012" s="22">
        <v>0</v>
      </c>
      <c r="O1012" s="22" t="s">
        <v>59</v>
      </c>
      <c r="P1012" s="22" t="s">
        <v>78</v>
      </c>
      <c r="Q1012" s="23" t="s">
        <v>2656</v>
      </c>
      <c r="R1012" s="23" t="s">
        <v>3119</v>
      </c>
      <c r="Z1012" s="83" t="s">
        <v>62</v>
      </c>
      <c r="AA1012" s="6">
        <v>10</v>
      </c>
      <c r="AD1012" s="5" t="s">
        <v>79</v>
      </c>
      <c r="AI1012" s="5">
        <v>20</v>
      </c>
      <c r="AJ1012" s="5">
        <v>48</v>
      </c>
      <c r="BQ1012" s="6" t="s">
        <v>1857</v>
      </c>
      <c r="BR1012" s="5" t="s">
        <v>3120</v>
      </c>
    </row>
    <row r="1013" spans="1:70" x14ac:dyDescent="0.2">
      <c r="A1013" s="91">
        <v>2070</v>
      </c>
      <c r="B1013" s="229" t="s">
        <v>3116</v>
      </c>
      <c r="C1013" s="259" t="s">
        <v>3117</v>
      </c>
      <c r="D1013" s="229" t="s">
        <v>3121</v>
      </c>
      <c r="E1013" s="3" t="s">
        <v>382</v>
      </c>
      <c r="F1013" s="26" t="s">
        <v>102</v>
      </c>
      <c r="G1013" s="26" t="s">
        <v>55</v>
      </c>
      <c r="H1013" s="26" t="s">
        <v>56</v>
      </c>
      <c r="J1013" s="22">
        <v>120</v>
      </c>
      <c r="L1013" s="28" t="s">
        <v>57</v>
      </c>
      <c r="M1013" s="22" t="s">
        <v>58</v>
      </c>
      <c r="N1013" s="22" t="s">
        <v>3122</v>
      </c>
      <c r="O1013" s="22" t="s">
        <v>59</v>
      </c>
      <c r="P1013" s="22" t="s">
        <v>3123</v>
      </c>
      <c r="Q1013" s="23" t="s">
        <v>2656</v>
      </c>
      <c r="R1013" s="23" t="s">
        <v>3119</v>
      </c>
      <c r="Z1013" s="83" t="s">
        <v>62</v>
      </c>
      <c r="AA1013" s="6">
        <v>10</v>
      </c>
      <c r="AD1013" s="5" t="s">
        <v>79</v>
      </c>
      <c r="AI1013" s="5">
        <v>20</v>
      </c>
      <c r="AJ1013" s="5">
        <v>48</v>
      </c>
      <c r="BQ1013" s="6" t="s">
        <v>1857</v>
      </c>
      <c r="BR1013" s="5" t="s">
        <v>3120</v>
      </c>
    </row>
    <row r="1014" spans="1:70" x14ac:dyDescent="0.2">
      <c r="A1014" s="91">
        <v>2071</v>
      </c>
      <c r="B1014" s="229" t="s">
        <v>3124</v>
      </c>
      <c r="C1014" s="259" t="s">
        <v>3125</v>
      </c>
      <c r="D1014" s="229" t="s">
        <v>3126</v>
      </c>
      <c r="E1014" s="3" t="s">
        <v>382</v>
      </c>
      <c r="F1014" s="26" t="s">
        <v>102</v>
      </c>
      <c r="G1014" s="26" t="s">
        <v>55</v>
      </c>
      <c r="H1014" s="26" t="s">
        <v>56</v>
      </c>
      <c r="J1014" s="22">
        <v>120</v>
      </c>
      <c r="L1014" s="28" t="s">
        <v>57</v>
      </c>
      <c r="M1014" s="22" t="s">
        <v>58</v>
      </c>
      <c r="N1014" s="22" t="s">
        <v>2682</v>
      </c>
      <c r="O1014" s="22" t="s">
        <v>59</v>
      </c>
      <c r="P1014" s="22" t="s">
        <v>3127</v>
      </c>
      <c r="Q1014" s="23" t="s">
        <v>2656</v>
      </c>
      <c r="R1014" s="23" t="s">
        <v>3128</v>
      </c>
      <c r="V1014" s="25" t="s">
        <v>613</v>
      </c>
      <c r="W1014" s="65" t="s">
        <v>653</v>
      </c>
      <c r="Z1014" s="83" t="s">
        <v>62</v>
      </c>
      <c r="AA1014" s="6">
        <v>12</v>
      </c>
      <c r="AB1014" s="6">
        <v>2</v>
      </c>
      <c r="AC1014" s="5">
        <v>52.8</v>
      </c>
      <c r="AD1014" s="5" t="s">
        <v>79</v>
      </c>
      <c r="AE1014" s="5" t="s">
        <v>334</v>
      </c>
      <c r="AI1014" s="5">
        <v>39</v>
      </c>
      <c r="AJ1014" s="5">
        <v>65</v>
      </c>
      <c r="BQ1014" s="6" t="s">
        <v>1904</v>
      </c>
      <c r="BR1014" s="5" t="s">
        <v>3129</v>
      </c>
    </row>
    <row r="1015" spans="1:70" x14ac:dyDescent="0.2">
      <c r="A1015" s="91">
        <v>2072</v>
      </c>
      <c r="B1015" s="229" t="s">
        <v>3124</v>
      </c>
      <c r="C1015" s="259" t="s">
        <v>3125</v>
      </c>
      <c r="D1015" s="229" t="s">
        <v>3130</v>
      </c>
      <c r="E1015" s="3" t="s">
        <v>382</v>
      </c>
      <c r="F1015" s="26" t="s">
        <v>102</v>
      </c>
      <c r="G1015" s="26" t="s">
        <v>55</v>
      </c>
      <c r="H1015" s="26" t="s">
        <v>65</v>
      </c>
      <c r="J1015" s="22">
        <v>120</v>
      </c>
      <c r="L1015" s="28" t="s">
        <v>57</v>
      </c>
      <c r="M1015" s="22" t="s">
        <v>58</v>
      </c>
      <c r="N1015" s="22" t="s">
        <v>2682</v>
      </c>
      <c r="O1015" s="22" t="s">
        <v>59</v>
      </c>
      <c r="P1015" s="22" t="s">
        <v>3127</v>
      </c>
      <c r="Q1015" s="23" t="s">
        <v>2656</v>
      </c>
      <c r="R1015" s="23" t="s">
        <v>3128</v>
      </c>
      <c r="V1015" s="25" t="s">
        <v>613</v>
      </c>
      <c r="W1015" s="65" t="s">
        <v>653</v>
      </c>
      <c r="Z1015" s="83" t="s">
        <v>62</v>
      </c>
      <c r="AA1015" s="6">
        <v>12</v>
      </c>
      <c r="AB1015" s="6">
        <v>2</v>
      </c>
      <c r="AC1015" s="5">
        <v>52.8</v>
      </c>
      <c r="AD1015" s="5" t="s">
        <v>79</v>
      </c>
      <c r="AE1015" s="5" t="s">
        <v>334</v>
      </c>
      <c r="AI1015" s="5">
        <v>39</v>
      </c>
      <c r="AJ1015" s="5">
        <v>65</v>
      </c>
      <c r="BQ1015" s="6" t="s">
        <v>1904</v>
      </c>
      <c r="BR1015" s="5" t="s">
        <v>3129</v>
      </c>
    </row>
    <row r="1016" spans="1:70" x14ac:dyDescent="0.2">
      <c r="A1016" s="91">
        <v>2073</v>
      </c>
      <c r="B1016" s="229" t="s">
        <v>3124</v>
      </c>
      <c r="C1016" s="259" t="s">
        <v>3125</v>
      </c>
      <c r="D1016" s="229" t="s">
        <v>3131</v>
      </c>
      <c r="E1016" s="3" t="s">
        <v>382</v>
      </c>
      <c r="F1016" s="26" t="s">
        <v>102</v>
      </c>
      <c r="G1016" s="26" t="s">
        <v>55</v>
      </c>
      <c r="H1016" s="26" t="s">
        <v>56</v>
      </c>
      <c r="J1016" s="22">
        <v>240</v>
      </c>
      <c r="L1016" s="28" t="s">
        <v>57</v>
      </c>
      <c r="M1016" s="22" t="s">
        <v>58</v>
      </c>
      <c r="N1016" s="22" t="s">
        <v>3132</v>
      </c>
      <c r="O1016" s="22" t="s">
        <v>59</v>
      </c>
      <c r="P1016" s="22" t="s">
        <v>3133</v>
      </c>
      <c r="Q1016" s="23" t="s">
        <v>2656</v>
      </c>
      <c r="R1016" s="23" t="s">
        <v>3134</v>
      </c>
      <c r="V1016" s="25" t="s">
        <v>613</v>
      </c>
      <c r="W1016" s="65" t="s">
        <v>653</v>
      </c>
      <c r="Z1016" s="83" t="s">
        <v>62</v>
      </c>
      <c r="AA1016" s="6">
        <v>12</v>
      </c>
      <c r="AB1016" s="6">
        <v>2</v>
      </c>
      <c r="AC1016" s="5">
        <v>52.8</v>
      </c>
      <c r="AD1016" s="5" t="s">
        <v>79</v>
      </c>
      <c r="AE1016" s="5" t="s">
        <v>334</v>
      </c>
      <c r="AI1016" s="5">
        <v>39</v>
      </c>
      <c r="AJ1016" s="5">
        <v>65</v>
      </c>
      <c r="BQ1016" s="6" t="s">
        <v>1904</v>
      </c>
      <c r="BR1016" s="5" t="s">
        <v>3129</v>
      </c>
    </row>
    <row r="1017" spans="1:70" x14ac:dyDescent="0.2">
      <c r="A1017" s="91">
        <v>2074</v>
      </c>
      <c r="B1017" s="229" t="s">
        <v>3124</v>
      </c>
      <c r="C1017" s="259" t="s">
        <v>3125</v>
      </c>
      <c r="D1017" s="229" t="s">
        <v>3135</v>
      </c>
      <c r="E1017" s="3" t="s">
        <v>382</v>
      </c>
      <c r="F1017" s="26" t="s">
        <v>102</v>
      </c>
      <c r="G1017" s="26" t="s">
        <v>55</v>
      </c>
      <c r="H1017" s="26" t="s">
        <v>65</v>
      </c>
      <c r="J1017" s="22">
        <v>240</v>
      </c>
      <c r="L1017" s="28" t="s">
        <v>57</v>
      </c>
      <c r="M1017" s="22" t="s">
        <v>58</v>
      </c>
      <c r="N1017" s="22" t="s">
        <v>3132</v>
      </c>
      <c r="O1017" s="22" t="s">
        <v>59</v>
      </c>
      <c r="P1017" s="22" t="s">
        <v>3133</v>
      </c>
      <c r="Q1017" s="23" t="s">
        <v>2656</v>
      </c>
      <c r="R1017" s="23" t="s">
        <v>3134</v>
      </c>
      <c r="V1017" s="25" t="s">
        <v>613</v>
      </c>
      <c r="W1017" s="65" t="s">
        <v>653</v>
      </c>
      <c r="Z1017" s="83" t="s">
        <v>62</v>
      </c>
      <c r="AA1017" s="6">
        <v>12</v>
      </c>
      <c r="AB1017" s="6">
        <v>2</v>
      </c>
      <c r="AC1017" s="5">
        <v>52.8</v>
      </c>
      <c r="AD1017" s="5" t="s">
        <v>79</v>
      </c>
      <c r="AE1017" s="5" t="s">
        <v>334</v>
      </c>
      <c r="AI1017" s="5">
        <v>39</v>
      </c>
      <c r="AJ1017" s="5">
        <v>65</v>
      </c>
      <c r="BQ1017" s="6" t="s">
        <v>1904</v>
      </c>
      <c r="BR1017" s="5" t="s">
        <v>3129</v>
      </c>
    </row>
    <row r="1018" spans="1:70" x14ac:dyDescent="0.2">
      <c r="A1018" s="91">
        <v>2075</v>
      </c>
      <c r="B1018" s="229" t="s">
        <v>3136</v>
      </c>
      <c r="C1018" s="259" t="s">
        <v>3137</v>
      </c>
      <c r="D1018" s="229" t="s">
        <v>3138</v>
      </c>
      <c r="E1018" s="3" t="s">
        <v>382</v>
      </c>
      <c r="F1018" s="26" t="s">
        <v>102</v>
      </c>
      <c r="G1018" s="26" t="s">
        <v>55</v>
      </c>
      <c r="H1018" s="26" t="s">
        <v>156</v>
      </c>
      <c r="J1018" s="22">
        <v>240</v>
      </c>
      <c r="L1018" s="28" t="s">
        <v>57</v>
      </c>
      <c r="M1018" s="22" t="s">
        <v>58</v>
      </c>
      <c r="N1018" s="22">
        <v>0</v>
      </c>
      <c r="O1018" s="22" t="s">
        <v>59</v>
      </c>
      <c r="P1018" s="22" t="s">
        <v>78</v>
      </c>
      <c r="Q1018" s="23" t="s">
        <v>3139</v>
      </c>
      <c r="R1018" s="23" t="s">
        <v>3140</v>
      </c>
      <c r="V1018" s="25" t="s">
        <v>61</v>
      </c>
      <c r="W1018" s="65" t="s">
        <v>1958</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3141</v>
      </c>
    </row>
    <row r="1019" spans="1:70" x14ac:dyDescent="0.2">
      <c r="A1019" s="91">
        <v>2076</v>
      </c>
      <c r="B1019" s="229" t="s">
        <v>3136</v>
      </c>
      <c r="C1019" s="259" t="s">
        <v>3137</v>
      </c>
      <c r="D1019" s="229" t="s">
        <v>3142</v>
      </c>
      <c r="E1019" s="3" t="s">
        <v>382</v>
      </c>
      <c r="F1019" s="26" t="s">
        <v>102</v>
      </c>
      <c r="G1019" s="26" t="s">
        <v>55</v>
      </c>
      <c r="H1019" s="26" t="s">
        <v>156</v>
      </c>
      <c r="J1019" s="22">
        <v>240</v>
      </c>
      <c r="L1019" s="28" t="s">
        <v>57</v>
      </c>
      <c r="M1019" s="22" t="s">
        <v>58</v>
      </c>
      <c r="N1019" s="22">
        <v>0</v>
      </c>
      <c r="O1019" s="22" t="s">
        <v>59</v>
      </c>
      <c r="P1019" s="22" t="s">
        <v>78</v>
      </c>
      <c r="Q1019" s="23" t="s">
        <v>3139</v>
      </c>
      <c r="R1019" s="23" t="s">
        <v>3143</v>
      </c>
      <c r="V1019" s="25" t="s">
        <v>435</v>
      </c>
      <c r="X1019" s="106" t="s">
        <v>202</v>
      </c>
      <c r="Y1019" s="25" t="s">
        <v>3144</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3141</v>
      </c>
    </row>
    <row r="1020" spans="1:70" x14ac:dyDescent="0.2">
      <c r="A1020" s="91">
        <v>2077</v>
      </c>
      <c r="B1020" s="229" t="s">
        <v>3145</v>
      </c>
      <c r="C1020" s="259" t="s">
        <v>3146</v>
      </c>
      <c r="D1020" s="229" t="s">
        <v>3147</v>
      </c>
      <c r="E1020" s="3" t="s">
        <v>382</v>
      </c>
      <c r="F1020" s="26" t="s">
        <v>102</v>
      </c>
      <c r="G1020" s="26" t="s">
        <v>55</v>
      </c>
      <c r="H1020" s="26" t="s">
        <v>56</v>
      </c>
      <c r="J1020" s="22">
        <v>120</v>
      </c>
      <c r="L1020" s="28" t="s">
        <v>57</v>
      </c>
      <c r="M1020" s="22" t="s">
        <v>58</v>
      </c>
      <c r="N1020" s="22">
        <v>0</v>
      </c>
      <c r="O1020" s="22" t="s">
        <v>59</v>
      </c>
      <c r="P1020" s="22" t="s">
        <v>78</v>
      </c>
      <c r="Q1020" s="23" t="s">
        <v>2656</v>
      </c>
      <c r="R1020" s="23" t="s">
        <v>3148</v>
      </c>
      <c r="Z1020" s="83" t="s">
        <v>62</v>
      </c>
      <c r="AA1020" s="6">
        <v>6</v>
      </c>
      <c r="AB1020" s="6">
        <v>3</v>
      </c>
      <c r="AD1020" s="5" t="s">
        <v>79</v>
      </c>
      <c r="AI1020" s="5">
        <v>36</v>
      </c>
      <c r="AJ1020" s="5">
        <v>67</v>
      </c>
      <c r="BQ1020" s="6" t="s">
        <v>213</v>
      </c>
      <c r="BR1020" s="5" t="s">
        <v>3149</v>
      </c>
    </row>
    <row r="1021" spans="1:70" x14ac:dyDescent="0.2">
      <c r="A1021" s="91">
        <v>2078</v>
      </c>
      <c r="B1021" s="229" t="s">
        <v>3145</v>
      </c>
      <c r="C1021" s="259" t="s">
        <v>3146</v>
      </c>
      <c r="D1021" s="229" t="s">
        <v>3150</v>
      </c>
      <c r="E1021" s="3" t="s">
        <v>382</v>
      </c>
      <c r="F1021" s="26" t="s">
        <v>102</v>
      </c>
      <c r="G1021" s="26" t="s">
        <v>55</v>
      </c>
      <c r="H1021" s="26" t="s">
        <v>56</v>
      </c>
      <c r="J1021" s="22">
        <v>120</v>
      </c>
      <c r="L1021" s="28" t="s">
        <v>57</v>
      </c>
      <c r="M1021" s="22" t="s">
        <v>58</v>
      </c>
      <c r="N1021" s="22" t="s">
        <v>3151</v>
      </c>
      <c r="O1021" s="22" t="s">
        <v>59</v>
      </c>
      <c r="P1021" s="22" t="s">
        <v>3152</v>
      </c>
      <c r="Q1021" s="23" t="s">
        <v>2656</v>
      </c>
      <c r="R1021" s="23" t="s">
        <v>3148</v>
      </c>
      <c r="Z1021" s="83" t="s">
        <v>62</v>
      </c>
      <c r="AA1021" s="6">
        <v>6</v>
      </c>
      <c r="AB1021" s="6">
        <v>3</v>
      </c>
      <c r="AD1021" s="5" t="s">
        <v>79</v>
      </c>
      <c r="AI1021" s="5">
        <v>36</v>
      </c>
      <c r="AJ1021" s="5">
        <v>67</v>
      </c>
      <c r="BQ1021" s="6" t="s">
        <v>213</v>
      </c>
      <c r="BR1021" s="5" t="s">
        <v>3149</v>
      </c>
    </row>
    <row r="1022" spans="1:70" x14ac:dyDescent="0.2">
      <c r="A1022" s="91">
        <v>2079</v>
      </c>
      <c r="B1022" s="229" t="s">
        <v>3153</v>
      </c>
      <c r="C1022" s="259" t="s">
        <v>3154</v>
      </c>
      <c r="D1022" s="229" t="s">
        <v>3155</v>
      </c>
      <c r="E1022" s="3" t="s">
        <v>382</v>
      </c>
      <c r="F1022" s="26" t="s">
        <v>102</v>
      </c>
      <c r="G1022" s="26" t="s">
        <v>55</v>
      </c>
      <c r="H1022" s="26" t="s">
        <v>76</v>
      </c>
      <c r="J1022" s="22">
        <v>80</v>
      </c>
      <c r="L1022" s="28" t="s">
        <v>57</v>
      </c>
      <c r="M1022" s="22" t="s">
        <v>58</v>
      </c>
      <c r="N1022" s="22" t="s">
        <v>3151</v>
      </c>
      <c r="O1022" s="22" t="s">
        <v>59</v>
      </c>
      <c r="P1022" s="22" t="s">
        <v>3156</v>
      </c>
      <c r="Q1022" s="23" t="s">
        <v>2656</v>
      </c>
      <c r="R1022" s="23" t="s">
        <v>3157</v>
      </c>
      <c r="X1022" s="106">
        <v>4</v>
      </c>
      <c r="Y1022" s="25" t="s">
        <v>3158</v>
      </c>
      <c r="Z1022" s="83" t="s">
        <v>62</v>
      </c>
      <c r="AA1022" s="6">
        <v>12</v>
      </c>
      <c r="AB1022" s="6">
        <v>0</v>
      </c>
      <c r="AD1022" s="5" t="s">
        <v>79</v>
      </c>
      <c r="AI1022" s="5">
        <v>19</v>
      </c>
      <c r="AJ1022" s="5">
        <v>38</v>
      </c>
      <c r="BQ1022" s="6" t="s">
        <v>3159</v>
      </c>
      <c r="BR1022" s="5" t="s">
        <v>3160</v>
      </c>
    </row>
    <row r="1023" spans="1:70" x14ac:dyDescent="0.2">
      <c r="A1023" s="91">
        <v>2080</v>
      </c>
      <c r="B1023" s="229" t="s">
        <v>3161</v>
      </c>
      <c r="C1023" s="259" t="s">
        <v>3162</v>
      </c>
      <c r="D1023" s="229" t="s">
        <v>3163</v>
      </c>
      <c r="E1023" s="3" t="s">
        <v>382</v>
      </c>
      <c r="F1023" s="26" t="s">
        <v>102</v>
      </c>
      <c r="G1023" s="26" t="s">
        <v>55</v>
      </c>
      <c r="H1023" s="26" t="s">
        <v>65</v>
      </c>
      <c r="J1023" s="22">
        <v>5</v>
      </c>
      <c r="L1023" s="28" t="s">
        <v>57</v>
      </c>
      <c r="M1023" s="22" t="s">
        <v>77</v>
      </c>
      <c r="N1023" s="22">
        <v>0</v>
      </c>
      <c r="O1023" s="22" t="s">
        <v>59</v>
      </c>
      <c r="P1023" s="22" t="s">
        <v>78</v>
      </c>
      <c r="Q1023" s="23" t="s">
        <v>2656</v>
      </c>
      <c r="R1023" s="23" t="s">
        <v>3164</v>
      </c>
      <c r="S1023" s="24">
        <v>10</v>
      </c>
      <c r="U1023" s="23" t="s">
        <v>3165</v>
      </c>
      <c r="X1023" s="106" t="s">
        <v>3166</v>
      </c>
      <c r="Y1023" s="25" t="s">
        <v>3167</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3168</v>
      </c>
    </row>
  </sheetData>
  <autoFilter ref="A2:BR994"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s>
  <pageMargins left="0.7" right="0.7" top="0.75" bottom="0.75" header="0.3" footer="0.3"/>
  <pageSetup paperSize="9" orientation="portrait" r:id="rId40"/>
  <legacyDrawing r:id="rId4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83"/>
  <sheetViews>
    <sheetView zoomScale="90" zoomScaleNormal="90" workbookViewId="0">
      <pane xSplit="5" ySplit="1" topLeftCell="F644" activePane="bottomRight" state="frozen"/>
      <selection pane="topRight" activeCell="F1" sqref="F1"/>
      <selection pane="bottomLeft" activeCell="A2" sqref="A2"/>
      <selection pane="bottomRight" activeCell="B684" sqref="B684"/>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row r="655" spans="1:30"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3169</v>
      </c>
    </row>
    <row r="663" spans="1:30" x14ac:dyDescent="0.2">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3170</v>
      </c>
    </row>
    <row r="664" spans="1:30" x14ac:dyDescent="0.2">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3171</v>
      </c>
    </row>
    <row r="665" spans="1:30" x14ac:dyDescent="0.2">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3172</v>
      </c>
    </row>
    <row r="666" spans="1:30" x14ac:dyDescent="0.2">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3173</v>
      </c>
    </row>
    <row r="667" spans="1:30" x14ac:dyDescent="0.2">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3173</v>
      </c>
    </row>
    <row r="668" spans="1:30" x14ac:dyDescent="0.2">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3174</v>
      </c>
    </row>
    <row r="670" spans="1:30" x14ac:dyDescent="0.2">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3175</v>
      </c>
      <c r="O670" s="46" t="s">
        <v>954</v>
      </c>
      <c r="P670" s="48">
        <v>230</v>
      </c>
      <c r="Q670" s="48" t="s">
        <v>938</v>
      </c>
      <c r="R670" s="48" t="s">
        <v>993</v>
      </c>
      <c r="S670" s="49">
        <v>122</v>
      </c>
      <c r="T670" s="49" t="s">
        <v>938</v>
      </c>
      <c r="U670" s="49" t="s">
        <v>3175</v>
      </c>
      <c r="V670" s="62" t="s">
        <v>939</v>
      </c>
      <c r="AD670" s="70" t="s">
        <v>3176</v>
      </c>
    </row>
    <row r="671" spans="1:30" x14ac:dyDescent="0.2">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3173</v>
      </c>
    </row>
    <row r="673" spans="1:29" x14ac:dyDescent="0.2">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sheetData>
  <autoFilter ref="A1:AD654"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854"/>
  <sheetViews>
    <sheetView zoomScale="85" zoomScaleNormal="85" workbookViewId="0">
      <pane ySplit="1" topLeftCell="A9836" activePane="bottomLeft" state="frozen"/>
      <selection pane="bottomLeft" activeCell="A9855" sqref="A9855"/>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1190</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1190</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1190</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1190</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1190</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1190</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1190</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1190</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1190</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1190</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1190</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1190</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1190</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1190</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1190</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1190</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1190</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1190</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1190</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1190</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1190</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1190</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1190</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1190</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1190</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1190</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1190</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1190</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1190</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1190</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1190</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1190</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1190</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1190</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1190</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1190</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1190</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1190</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1190</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1190</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1190</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1190</v>
      </c>
      <c r="K9552" s="185" t="s">
        <v>537</v>
      </c>
    </row>
    <row r="9553" spans="1:16" x14ac:dyDescent="0.2">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3177</v>
      </c>
    </row>
    <row r="9554" spans="1:16" x14ac:dyDescent="0.2">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3177</v>
      </c>
    </row>
    <row r="9567" spans="1:16" x14ac:dyDescent="0.2">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3177</v>
      </c>
    </row>
    <row r="9580" spans="1:16" x14ac:dyDescent="0.2">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3178</v>
      </c>
    </row>
    <row r="9593" spans="1:16" x14ac:dyDescent="0.2">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3179</v>
      </c>
    </row>
    <row r="9601" spans="1:16" x14ac:dyDescent="0.2">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3180</v>
      </c>
    </row>
    <row r="9611" spans="1:16" x14ac:dyDescent="0.2">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3181</v>
      </c>
    </row>
    <row r="9622" spans="1:16" x14ac:dyDescent="0.2">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3181</v>
      </c>
    </row>
    <row r="9637" spans="1:16" x14ac:dyDescent="0.2">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3181</v>
      </c>
    </row>
    <row r="9649" spans="1:16" x14ac:dyDescent="0.2">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3181</v>
      </c>
    </row>
    <row r="9661" spans="1:16" x14ac:dyDescent="0.2">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3182</v>
      </c>
    </row>
    <row r="9673" spans="1:16" x14ac:dyDescent="0.2">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3183</v>
      </c>
    </row>
    <row r="9674" spans="1:16" x14ac:dyDescent="0.2">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3183</v>
      </c>
    </row>
    <row r="9675" spans="1:16" x14ac:dyDescent="0.2">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3183</v>
      </c>
    </row>
    <row r="9676" spans="1:16" x14ac:dyDescent="0.2">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3183</v>
      </c>
    </row>
    <row r="9677" spans="1:16" x14ac:dyDescent="0.2">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3183</v>
      </c>
    </row>
    <row r="9678" spans="1:16" x14ac:dyDescent="0.2">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3183</v>
      </c>
    </row>
    <row r="9679" spans="1:16" x14ac:dyDescent="0.2">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3183</v>
      </c>
    </row>
    <row r="9680" spans="1:16" x14ac:dyDescent="0.2">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3183</v>
      </c>
    </row>
    <row r="9681" spans="1:16" x14ac:dyDescent="0.2">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3182</v>
      </c>
    </row>
    <row r="9682" spans="1:16" x14ac:dyDescent="0.2">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3183</v>
      </c>
    </row>
    <row r="9683" spans="1:16" x14ac:dyDescent="0.2">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3183</v>
      </c>
    </row>
    <row r="9684" spans="1:16" x14ac:dyDescent="0.2">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3183</v>
      </c>
    </row>
    <row r="9685" spans="1:16" x14ac:dyDescent="0.2">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3183</v>
      </c>
    </row>
    <row r="9686" spans="1:16" x14ac:dyDescent="0.2">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3183</v>
      </c>
    </row>
    <row r="9687" spans="1:16" x14ac:dyDescent="0.2">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3183</v>
      </c>
    </row>
    <row r="9688" spans="1:16" x14ac:dyDescent="0.2">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3183</v>
      </c>
    </row>
    <row r="9689" spans="1:16" x14ac:dyDescent="0.2">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3183</v>
      </c>
    </row>
    <row r="9690" spans="1:16" x14ac:dyDescent="0.2">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3182</v>
      </c>
    </row>
    <row r="9691" spans="1:16" x14ac:dyDescent="0.2">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3183</v>
      </c>
    </row>
    <row r="9692" spans="1:16" x14ac:dyDescent="0.2">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3183</v>
      </c>
    </row>
    <row r="9693" spans="1:16" x14ac:dyDescent="0.2">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3183</v>
      </c>
    </row>
    <row r="9694" spans="1:16" x14ac:dyDescent="0.2">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3183</v>
      </c>
    </row>
    <row r="9695" spans="1:16" x14ac:dyDescent="0.2">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3183</v>
      </c>
    </row>
    <row r="9696" spans="1:16" x14ac:dyDescent="0.2">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3183</v>
      </c>
    </row>
    <row r="9697" spans="1:16" x14ac:dyDescent="0.2">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3183</v>
      </c>
    </row>
    <row r="9698" spans="1:16" x14ac:dyDescent="0.2">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3183</v>
      </c>
    </row>
    <row r="9699" spans="1:16" x14ac:dyDescent="0.2">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3182</v>
      </c>
    </row>
    <row r="9700" spans="1:16" x14ac:dyDescent="0.2">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3183</v>
      </c>
    </row>
    <row r="9701" spans="1:16" x14ac:dyDescent="0.2">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3183</v>
      </c>
    </row>
    <row r="9702" spans="1:16" x14ac:dyDescent="0.2">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3183</v>
      </c>
    </row>
    <row r="9703" spans="1:16" x14ac:dyDescent="0.2">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3183</v>
      </c>
    </row>
    <row r="9704" spans="1:16" x14ac:dyDescent="0.2">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3183</v>
      </c>
    </row>
    <row r="9705" spans="1:16" x14ac:dyDescent="0.2">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3183</v>
      </c>
    </row>
    <row r="9706" spans="1:16" x14ac:dyDescent="0.2">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3183</v>
      </c>
    </row>
    <row r="9707" spans="1:16" x14ac:dyDescent="0.2">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3183</v>
      </c>
    </row>
    <row r="9708" spans="1:16" x14ac:dyDescent="0.2">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3184</v>
      </c>
    </row>
    <row r="9720" spans="1:16" x14ac:dyDescent="0.2">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3185</v>
      </c>
    </row>
    <row r="9723" spans="1:16" x14ac:dyDescent="0.2">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3186</v>
      </c>
    </row>
    <row r="9734" spans="1:16" x14ac:dyDescent="0.2">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3187</v>
      </c>
    </row>
    <row r="9738" spans="1:16" x14ac:dyDescent="0.2">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3187</v>
      </c>
    </row>
    <row r="9739" spans="1:16" x14ac:dyDescent="0.2">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3187</v>
      </c>
    </row>
    <row r="9740" spans="1:16" x14ac:dyDescent="0.2">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3187</v>
      </c>
    </row>
    <row r="9741" spans="1:16" x14ac:dyDescent="0.2">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3187</v>
      </c>
    </row>
    <row r="9742" spans="1:16" x14ac:dyDescent="0.2">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3187</v>
      </c>
    </row>
    <row r="9743" spans="1:16" x14ac:dyDescent="0.2">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3187</v>
      </c>
    </row>
    <row r="9758" spans="1:16" x14ac:dyDescent="0.2">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3187</v>
      </c>
    </row>
    <row r="9759" spans="1:16" x14ac:dyDescent="0.2">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3187</v>
      </c>
    </row>
    <row r="9760" spans="1:16" x14ac:dyDescent="0.2">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3187</v>
      </c>
    </row>
    <row r="9761" spans="1:16" x14ac:dyDescent="0.2">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3187</v>
      </c>
    </row>
    <row r="9762" spans="1:16" x14ac:dyDescent="0.2">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3187</v>
      </c>
    </row>
    <row r="9763" spans="1:16" x14ac:dyDescent="0.2">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3188</v>
      </c>
    </row>
    <row r="9796" spans="1:16" x14ac:dyDescent="0.2">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3188</v>
      </c>
    </row>
    <row r="9813" spans="1:16" x14ac:dyDescent="0.2">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3189</v>
      </c>
    </row>
    <row r="9814" spans="1:16" x14ac:dyDescent="0.2">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3177</v>
      </c>
    </row>
    <row r="9843" spans="1:16" x14ac:dyDescent="0.2">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sheetData>
  <autoFilter ref="A1:Q9510"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266"/>
  <sheetViews>
    <sheetView zoomScale="80" zoomScaleNormal="80" workbookViewId="0">
      <pane xSplit="4" ySplit="1" topLeftCell="E163" activePane="bottomRight" state="frozen"/>
      <selection pane="topRight" activeCell="E1" sqref="E1"/>
      <selection pane="bottomLeft" activeCell="A2" sqref="A2"/>
      <selection pane="bottomRight" activeCell="A190" sqref="A190"/>
    </sheetView>
  </sheetViews>
  <sheetFormatPr baseColWidth="10"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15.5" style="105" bestFit="1" customWidth="1"/>
    <col min="8" max="8" width="17" style="68" bestFit="1" customWidth="1"/>
    <col min="9" max="9" width="17"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0"/>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0"/>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0"/>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0"/>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0"/>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0"/>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0"/>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0"/>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61" si="1">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1"/>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1"/>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1"/>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si="1"/>
        <v>PO</v>
      </c>
      <c r="I60" s="138" t="s">
        <v>3062</v>
      </c>
      <c r="J60" s="205" t="str">
        <f>IF(AND(A60&lt;&gt;"",ISNUMBER(A60)),VLOOKUP(A60,Studies!A:BR,6,FALSE),"")</f>
        <v>Plasma</v>
      </c>
      <c r="K60" s="187">
        <v>0.65500794910000004</v>
      </c>
      <c r="L60" s="187" t="s">
        <v>1140</v>
      </c>
      <c r="M60" s="201"/>
      <c r="N60" s="201"/>
      <c r="O60" s="193">
        <v>1.1059602649</v>
      </c>
      <c r="P60" s="193" t="s">
        <v>1140</v>
      </c>
      <c r="Q60" s="202"/>
      <c r="R60" s="202"/>
      <c r="S60" s="182">
        <v>0</v>
      </c>
      <c r="T60" s="183" t="s">
        <v>935</v>
      </c>
      <c r="U60" s="184">
        <v>144</v>
      </c>
      <c r="V60" s="185" t="s">
        <v>935</v>
      </c>
      <c r="W60" s="186" t="s">
        <v>59</v>
      </c>
      <c r="X60" s="181"/>
      <c r="Y60" s="176">
        <v>600</v>
      </c>
      <c r="Z60" s="180"/>
      <c r="AA60" s="180" t="s">
        <v>57</v>
      </c>
      <c r="AB60" s="176" t="s">
        <v>58</v>
      </c>
      <c r="AC60" s="176" t="s">
        <v>1136</v>
      </c>
      <c r="AD60" s="176" t="s">
        <v>59</v>
      </c>
      <c r="AE60" s="176" t="s">
        <v>3030</v>
      </c>
      <c r="AF60" s="176" t="s">
        <v>91</v>
      </c>
      <c r="AG60" s="177" t="s">
        <v>1141</v>
      </c>
      <c r="AH60" s="177" t="s">
        <v>1142</v>
      </c>
      <c r="AI60" s="178"/>
      <c r="AJ60" s="177"/>
      <c r="AK60" s="177" t="s">
        <v>1143</v>
      </c>
      <c r="AL60" s="193"/>
      <c r="AM60" s="193"/>
      <c r="AN60" s="193"/>
      <c r="AO60" s="193"/>
    </row>
    <row r="61" spans="1:41"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1"/>
        <v>PO</v>
      </c>
      <c r="I61" s="138" t="s">
        <v>3062</v>
      </c>
      <c r="J61" s="205" t="str">
        <f>IF(AND(A61&lt;&gt;"",ISNUMBER(A61)),VLOOKUP(A61,Studies!A:BR,6,FALSE),"")</f>
        <v>Plasma</v>
      </c>
      <c r="K61" s="187">
        <v>1.554907677E-2</v>
      </c>
      <c r="L61" s="187" t="s">
        <v>1140</v>
      </c>
      <c r="M61" s="201"/>
      <c r="N61" s="201"/>
      <c r="O61" s="193">
        <v>3.4865292999999999E-2</v>
      </c>
      <c r="P61" s="193" t="s">
        <v>1140</v>
      </c>
      <c r="Q61" s="202"/>
      <c r="R61" s="202"/>
      <c r="S61" s="182">
        <v>0</v>
      </c>
      <c r="T61" s="183" t="s">
        <v>935</v>
      </c>
      <c r="U61" s="184">
        <v>144</v>
      </c>
      <c r="V61" s="185" t="s">
        <v>935</v>
      </c>
      <c r="W61" s="186" t="s">
        <v>59</v>
      </c>
      <c r="X61" s="181"/>
      <c r="Y61" s="176">
        <v>600</v>
      </c>
      <c r="Z61" s="180"/>
      <c r="AA61" s="180" t="s">
        <v>57</v>
      </c>
      <c r="AB61" s="176" t="s">
        <v>58</v>
      </c>
      <c r="AC61" s="176" t="s">
        <v>1136</v>
      </c>
      <c r="AD61" s="176" t="s">
        <v>59</v>
      </c>
      <c r="AE61" s="176" t="s">
        <v>3030</v>
      </c>
      <c r="AF61" s="176" t="s">
        <v>91</v>
      </c>
      <c r="AG61" s="177" t="s">
        <v>1141</v>
      </c>
      <c r="AH61" s="177" t="s">
        <v>1142</v>
      </c>
      <c r="AI61" s="178"/>
      <c r="AJ61" s="177"/>
      <c r="AK61" s="177" t="s">
        <v>1143</v>
      </c>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93" si="2">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2"/>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2"/>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2"/>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2"/>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138" t="s">
        <v>3062</v>
      </c>
      <c r="J76" s="205" t="str">
        <f>IF(AND(A76&lt;&gt;"",ISNUMBER(A76)),VLOOKUP(A76,Studies!A:BR,6,FALSE),"")</f>
        <v>Plasma</v>
      </c>
      <c r="K76" s="211">
        <v>0.51</v>
      </c>
      <c r="L76" s="211" t="s">
        <v>115</v>
      </c>
      <c r="M76" s="201"/>
      <c r="N76" s="201"/>
      <c r="O76" s="213"/>
      <c r="P76" s="213"/>
      <c r="Q76" s="202"/>
      <c r="R76" s="202"/>
      <c r="S76" s="182">
        <v>0</v>
      </c>
      <c r="T76" s="183" t="s">
        <v>935</v>
      </c>
      <c r="U76" s="184">
        <v>106</v>
      </c>
      <c r="V76" s="185" t="s">
        <v>935</v>
      </c>
      <c r="W76" s="219" t="s">
        <v>59</v>
      </c>
      <c r="X76" s="220"/>
      <c r="Y76" s="206">
        <v>600</v>
      </c>
      <c r="Z76" s="207"/>
      <c r="AA76" s="207" t="s">
        <v>57</v>
      </c>
      <c r="AB76" s="206" t="s">
        <v>58</v>
      </c>
      <c r="AC76" s="176" t="s">
        <v>182</v>
      </c>
      <c r="AD76" s="206" t="s">
        <v>59</v>
      </c>
      <c r="AE76" s="176" t="s">
        <v>3022</v>
      </c>
      <c r="AF76" s="206" t="s">
        <v>91</v>
      </c>
      <c r="AG76" s="208" t="s">
        <v>1137</v>
      </c>
      <c r="AH76" s="208"/>
      <c r="AI76" s="209"/>
      <c r="AJ76" s="208"/>
      <c r="AK76" s="208" t="s">
        <v>1144</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138" t="s">
        <v>3062</v>
      </c>
      <c r="J78" s="205" t="str">
        <f>IF(AND(A78&lt;&gt;"",ISNUMBER(A78)),VLOOKUP(A78,Studies!A:BR,6,FALSE),"")</f>
        <v>Plasma</v>
      </c>
      <c r="K78" s="187">
        <v>0.123</v>
      </c>
      <c r="L78" s="187" t="s">
        <v>115</v>
      </c>
      <c r="M78" s="201"/>
      <c r="N78" s="201"/>
      <c r="O78" s="193">
        <v>0.16200000000000001</v>
      </c>
      <c r="P78" s="193" t="s">
        <v>115</v>
      </c>
      <c r="Q78" s="202"/>
      <c r="R78" s="202"/>
      <c r="S78" s="182">
        <v>1320</v>
      </c>
      <c r="T78" s="183" t="s">
        <v>935</v>
      </c>
      <c r="U78" s="184">
        <v>648</v>
      </c>
      <c r="V78" s="185">
        <v>816</v>
      </c>
      <c r="W78" s="186" t="s">
        <v>59</v>
      </c>
      <c r="X78" s="181" t="s">
        <v>1106</v>
      </c>
      <c r="Y78" s="176">
        <v>600</v>
      </c>
      <c r="Z78" s="180"/>
      <c r="AA78" s="180" t="s">
        <v>57</v>
      </c>
      <c r="AB78" s="176" t="s">
        <v>58</v>
      </c>
      <c r="AC78" s="176" t="s">
        <v>1107</v>
      </c>
      <c r="AD78" s="176" t="s">
        <v>59</v>
      </c>
      <c r="AE78" s="176" t="s">
        <v>3040</v>
      </c>
      <c r="AF78" s="176"/>
      <c r="AG78" s="177"/>
      <c r="AH78" s="177" t="s">
        <v>1108</v>
      </c>
      <c r="AI78" s="178"/>
      <c r="AJ78" s="177"/>
      <c r="AK78" s="177" t="s">
        <v>1109</v>
      </c>
      <c r="AL78" s="193" t="s">
        <v>61</v>
      </c>
      <c r="AM78" s="193"/>
      <c r="AN78" s="193"/>
      <c r="AO78" s="193"/>
    </row>
    <row r="79" spans="1:41"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138" t="s">
        <v>3062</v>
      </c>
      <c r="J79" s="205" t="str">
        <f>IF(AND(A79&lt;&gt;"",ISNUMBER(A79)),VLOOKUP(A79,Studies!A:BR,6,FALSE),"")</f>
        <v>Plasma</v>
      </c>
      <c r="K79" s="187">
        <v>0.38300000000000001</v>
      </c>
      <c r="L79" s="187" t="s">
        <v>115</v>
      </c>
      <c r="M79" s="201"/>
      <c r="N79" s="201"/>
      <c r="O79" s="193">
        <v>0.40300000000000002</v>
      </c>
      <c r="P79" s="193" t="s">
        <v>115</v>
      </c>
      <c r="Q79" s="202"/>
      <c r="R79" s="202"/>
      <c r="S79" s="182">
        <v>1320</v>
      </c>
      <c r="T79" s="183" t="s">
        <v>935</v>
      </c>
      <c r="U79" s="184">
        <v>816</v>
      </c>
      <c r="V79" s="185">
        <v>984</v>
      </c>
      <c r="W79" s="186" t="s">
        <v>59</v>
      </c>
      <c r="X79" s="181" t="s">
        <v>1106</v>
      </c>
      <c r="Y79" s="176">
        <v>600</v>
      </c>
      <c r="Z79" s="180"/>
      <c r="AA79" s="180" t="s">
        <v>57</v>
      </c>
      <c r="AB79" s="176" t="s">
        <v>58</v>
      </c>
      <c r="AC79" s="176" t="s">
        <v>1107</v>
      </c>
      <c r="AD79" s="176" t="s">
        <v>59</v>
      </c>
      <c r="AE79" s="176" t="s">
        <v>3040</v>
      </c>
      <c r="AF79" s="176"/>
      <c r="AG79" s="177"/>
      <c r="AH79" s="177" t="s">
        <v>1108</v>
      </c>
      <c r="AI79" s="178"/>
      <c r="AJ79" s="177"/>
      <c r="AK79" s="177" t="s">
        <v>1109</v>
      </c>
      <c r="AL79" s="193" t="s">
        <v>61</v>
      </c>
      <c r="AM79" s="193"/>
      <c r="AN79" s="193"/>
      <c r="AO79" s="193"/>
    </row>
    <row r="80" spans="1:41"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138" t="s">
        <v>3062</v>
      </c>
      <c r="J80" s="205" t="str">
        <f>IF(AND(A80&lt;&gt;"",ISNUMBER(A80)),VLOOKUP(A80,Studies!A:BR,6,FALSE),"")</f>
        <v>Plasma</v>
      </c>
      <c r="K80" s="187">
        <v>0.81499999999999995</v>
      </c>
      <c r="L80" s="187" t="s">
        <v>115</v>
      </c>
      <c r="M80" s="201"/>
      <c r="N80" s="201"/>
      <c r="O80" s="193">
        <v>0.73099999999999998</v>
      </c>
      <c r="P80" s="193" t="s">
        <v>115</v>
      </c>
      <c r="Q80" s="202"/>
      <c r="R80" s="202"/>
      <c r="S80" s="182">
        <v>1320</v>
      </c>
      <c r="T80" s="183" t="s">
        <v>935</v>
      </c>
      <c r="U80" s="184">
        <v>984</v>
      </c>
      <c r="V80" s="185">
        <v>1320</v>
      </c>
      <c r="W80" s="186" t="s">
        <v>59</v>
      </c>
      <c r="X80" s="181" t="s">
        <v>1106</v>
      </c>
      <c r="Y80" s="176">
        <v>600</v>
      </c>
      <c r="Z80" s="180"/>
      <c r="AA80" s="180" t="s">
        <v>57</v>
      </c>
      <c r="AB80" s="176" t="s">
        <v>58</v>
      </c>
      <c r="AC80" s="176" t="s">
        <v>1107</v>
      </c>
      <c r="AD80" s="176" t="s">
        <v>59</v>
      </c>
      <c r="AE80" s="176" t="s">
        <v>3040</v>
      </c>
      <c r="AF80" s="176"/>
      <c r="AG80" s="177"/>
      <c r="AH80" s="177" t="s">
        <v>1108</v>
      </c>
      <c r="AI80" s="178"/>
      <c r="AJ80" s="177"/>
      <c r="AK80" s="177" t="s">
        <v>1109</v>
      </c>
      <c r="AL80" s="193" t="s">
        <v>61</v>
      </c>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2"/>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2"/>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138" t="s">
        <v>3062</v>
      </c>
      <c r="J87" s="205" t="str">
        <f>IF(AND(A87&lt;&gt;"",ISNUMBER(A87)),VLOOKUP(A87,Studies!A:BR,6,FALSE),"")</f>
        <v>Plasma</v>
      </c>
      <c r="K87" s="187">
        <f>3110/5367</f>
        <v>0.57946711384386063</v>
      </c>
      <c r="L87" s="187" t="s">
        <v>1099</v>
      </c>
      <c r="M87" s="201"/>
      <c r="N87" s="201"/>
      <c r="O87" s="193"/>
      <c r="P87" s="193"/>
      <c r="Q87" s="202"/>
      <c r="R87" s="202"/>
      <c r="S87" s="182">
        <v>0</v>
      </c>
      <c r="T87" s="183" t="s">
        <v>935</v>
      </c>
      <c r="U87" s="184">
        <f>144-12</f>
        <v>132</v>
      </c>
      <c r="V87" s="185" t="s">
        <v>935</v>
      </c>
      <c r="W87" s="186" t="s">
        <v>59</v>
      </c>
      <c r="X87" s="181"/>
      <c r="Y87" s="176">
        <v>600</v>
      </c>
      <c r="Z87" s="180"/>
      <c r="AA87" s="180" t="s">
        <v>57</v>
      </c>
      <c r="AB87" s="176" t="s">
        <v>58</v>
      </c>
      <c r="AC87" s="176" t="s">
        <v>1145</v>
      </c>
      <c r="AD87" s="176" t="s">
        <v>59</v>
      </c>
      <c r="AE87" s="176" t="s">
        <v>3024</v>
      </c>
      <c r="AF87" s="176" t="s">
        <v>91</v>
      </c>
      <c r="AG87" s="177" t="s">
        <v>1141</v>
      </c>
      <c r="AH87" s="177" t="s">
        <v>1146</v>
      </c>
      <c r="AI87" s="178"/>
      <c r="AJ87" s="177"/>
      <c r="AK87" s="177"/>
      <c r="AL87" s="193"/>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2"/>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2"/>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
      <c r="A134" s="30">
        <v>1092</v>
      </c>
      <c r="B134" s="204" t="str">
        <f>IF(AND(A134&lt;&gt;"",ISNUMBER(A134)),VLOOKUP(A134,Studies!A:BR,2,FALSE),"")</f>
        <v>Shin 2013</v>
      </c>
      <c r="C134" s="204" t="str">
        <f>IF(AND(A134&lt;&gt;"",ISNUMBER(A134)),VLOOKUP(A134,Studies!A:BR,3,FALSE),"")</f>
        <v>https://www.ncbi.nlm.nih.gov/pubmed/23784264</v>
      </c>
      <c r="D134" s="204" t="str">
        <f>IF(AND(A134&lt;&gt;"",ISNUMBER(A134)),VLOOKUP(A134,Studies!A:BR,4,FALSE),"")</f>
        <v>CYP3A4 induced phase (Midazolam + rifampicin)</v>
      </c>
      <c r="E134" s="139" t="str">
        <f>IF(AND(A134&lt;&gt;"",ISNUMBER(A134)),VLOOKUP(A134,Studies!A:BR,5,FALSE),"")</f>
        <v>Midazolam</v>
      </c>
      <c r="F134" s="42" t="s">
        <v>53</v>
      </c>
      <c r="G134" s="205" t="str">
        <f>IF(AND(A134&lt;&gt;"",ISNUMBER(A134)),VLOOKUP(A134,Studies!A:BR,13,FALSE),"")</f>
        <v>IV</v>
      </c>
      <c r="H134" s="68" t="s">
        <v>58</v>
      </c>
      <c r="I134" s="138" t="s">
        <v>3062</v>
      </c>
      <c r="J134" s="205" t="str">
        <f>IF(AND(A134&lt;&gt;"",ISNUMBER(A134)),VLOOKUP(A134,Studies!A:BR,6,FALSE),"")</f>
        <v>Plasma</v>
      </c>
      <c r="K134" s="43">
        <f>0.46*2.5</f>
        <v>1.1500000000000001</v>
      </c>
      <c r="L134" s="43" t="s">
        <v>2625</v>
      </c>
      <c r="M134" s="76" t="str">
        <f>0.41*2.5&amp;" - "&amp;0.51*2.5</f>
        <v>1.025 - 1.275</v>
      </c>
      <c r="N134" s="76" t="s">
        <v>1155</v>
      </c>
      <c r="S134" s="38">
        <v>0</v>
      </c>
      <c r="T134" s="39" t="s">
        <v>935</v>
      </c>
      <c r="U134" s="40">
        <v>216</v>
      </c>
      <c r="V134" s="41" t="s">
        <v>935</v>
      </c>
      <c r="W134" s="42" t="s">
        <v>59</v>
      </c>
      <c r="X134" s="181" t="s">
        <v>2949</v>
      </c>
      <c r="Y134" s="22">
        <v>600</v>
      </c>
      <c r="Z134" s="180"/>
      <c r="AA134" s="180" t="s">
        <v>57</v>
      </c>
      <c r="AB134" s="22" t="s">
        <v>58</v>
      </c>
      <c r="AC134" s="22" t="s">
        <v>2648</v>
      </c>
      <c r="AD134" s="176" t="s">
        <v>59</v>
      </c>
      <c r="AE134" s="176" t="s">
        <v>3021</v>
      </c>
      <c r="AF134" s="176" t="s">
        <v>2649</v>
      </c>
      <c r="AG134" s="23" t="s">
        <v>2650</v>
      </c>
      <c r="AH134" s="177" t="s">
        <v>2651</v>
      </c>
      <c r="AJ134" s="177"/>
      <c r="AK134" s="177"/>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
      <c r="A136" s="181">
        <v>1095</v>
      </c>
      <c r="B136" s="204" t="str">
        <f>IF(AND(A136&lt;&gt;"",ISNUMBER(A136)),VLOOKUP(A136,Studies!A:BR,2,FALSE),"")</f>
        <v>Shin 2016</v>
      </c>
      <c r="C136" s="204" t="str">
        <f>IF(AND(A136&lt;&gt;"",ISNUMBER(A136)),VLOOKUP(A136,Studies!A:BR,3,FALSE),"")</f>
        <v>https://www.ncbi.nlm.nih.gov/pubmed/27317471</v>
      </c>
      <c r="D136" s="204" t="str">
        <f>IF(AND(A136&lt;&gt;"",ISNUMBER(A136)),VLOOKUP(A136,Studies!A:BR,4,FALSE),"")</f>
        <v>Midazolam + rifampicin</v>
      </c>
      <c r="E136" s="139" t="str">
        <f>IF(AND(A136&lt;&gt;"",ISNUMBER(A136)),VLOOKUP(A136,Studies!A:BR,5,FALSE),"")</f>
        <v>Midazolam</v>
      </c>
      <c r="F136" s="42" t="s">
        <v>53</v>
      </c>
      <c r="G136" s="205" t="str">
        <f>IF(AND(A136&lt;&gt;"",ISNUMBER(A136)),VLOOKUP(A136,Studies!A:BR,13,FALSE),"")</f>
        <v>IV</v>
      </c>
      <c r="H136" s="68" t="s">
        <v>58</v>
      </c>
      <c r="I136" s="138" t="s">
        <v>3062</v>
      </c>
      <c r="J136" s="205" t="str">
        <f>IF(AND(A136&lt;&gt;"",ISNUMBER(A136)),VLOOKUP(A136,Studies!A:BR,6,FALSE),"")</f>
        <v>Plasma</v>
      </c>
      <c r="K136" s="43">
        <f>0.49*2.5</f>
        <v>1.2250000000000001</v>
      </c>
      <c r="L136" s="43" t="s">
        <v>2625</v>
      </c>
      <c r="M136" s="76" t="str">
        <f>0.46*2.5&amp;" - "&amp;0.53*2.5</f>
        <v>1.15 - 1.325</v>
      </c>
      <c r="N136" s="76" t="s">
        <v>1155</v>
      </c>
      <c r="O136" s="52">
        <f>0.71*2.5</f>
        <v>1.7749999999999999</v>
      </c>
      <c r="P136" s="52" t="s">
        <v>2625</v>
      </c>
      <c r="Q136" s="84" t="str">
        <f>0.68*2.5&amp;" - "&amp;0.76*2.5</f>
        <v>1.7 - 1.9</v>
      </c>
      <c r="R136" s="84" t="s">
        <v>1155</v>
      </c>
      <c r="S136" s="38">
        <v>0</v>
      </c>
      <c r="T136" s="39" t="s">
        <v>935</v>
      </c>
      <c r="U136" s="40">
        <v>216</v>
      </c>
      <c r="V136" s="41" t="s">
        <v>935</v>
      </c>
      <c r="W136" s="42" t="s">
        <v>59</v>
      </c>
      <c r="X136" s="181" t="s">
        <v>2740</v>
      </c>
      <c r="Y136" s="176">
        <v>600</v>
      </c>
      <c r="Z136" s="180"/>
      <c r="AA136" s="180" t="s">
        <v>57</v>
      </c>
      <c r="AB136" s="176" t="s">
        <v>58</v>
      </c>
      <c r="AC136" s="176" t="s">
        <v>2648</v>
      </c>
      <c r="AD136" s="176" t="s">
        <v>59</v>
      </c>
      <c r="AE136" s="176" t="s">
        <v>3021</v>
      </c>
      <c r="AF136" s="176" t="s">
        <v>2649</v>
      </c>
      <c r="AG136" s="177" t="s">
        <v>1141</v>
      </c>
      <c r="AH136" s="177" t="s">
        <v>2651</v>
      </c>
      <c r="AI136" s="178"/>
      <c r="AJ136" s="177"/>
      <c r="AK136" s="177"/>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
      <c r="A138" s="181">
        <v>1098</v>
      </c>
      <c r="B138" s="204" t="str">
        <f>IF(AND(A138&lt;&gt;"",ISNUMBER(A138)),VLOOKUP(A138,Studies!A:BR,2,FALSE),"")</f>
        <v>Prueksaritanont 2017</v>
      </c>
      <c r="C138" s="204" t="str">
        <f>IF(AND(A138&lt;&gt;"",ISNUMBER(A138)),VLOOKUP(A138,Studies!A:BR,3,FALSE),"")</f>
        <v>https://www.ncbi.nlm.nih.gov/pubmed/27943276</v>
      </c>
      <c r="D138" s="204" t="str">
        <f>IF(AND(A138&lt;&gt;"",ISNUMBER(A138)),VLOOKUP(A138,Studies!A:BR,4,FALSE),"")</f>
        <v>Midazolam in microdosecocktail + Rifampin</v>
      </c>
      <c r="E138" s="139" t="str">
        <f>IF(AND(A138&lt;&gt;"",ISNUMBER(A138)),VLOOKUP(A138,Studies!A:BR,5,FALSE),"")</f>
        <v>Midazolam</v>
      </c>
      <c r="F138" s="42" t="s">
        <v>53</v>
      </c>
      <c r="G138" s="205" t="str">
        <f>IF(AND(A138&lt;&gt;"",ISNUMBER(A138)),VLOOKUP(A138,Studies!A:BR,13,FALSE),"")</f>
        <v>PO</v>
      </c>
      <c r="H138" s="68" t="s">
        <v>58</v>
      </c>
      <c r="I138" s="138" t="s">
        <v>3062</v>
      </c>
      <c r="J138" s="205" t="str">
        <f>IF(AND(A138&lt;&gt;"",ISNUMBER(A138)),VLOOKUP(A138,Studies!A:BR,6,FALSE),"")</f>
        <v>Plasma</v>
      </c>
      <c r="K138" s="43">
        <v>0.94</v>
      </c>
      <c r="L138" s="187" t="s">
        <v>2137</v>
      </c>
      <c r="M138" s="76" t="s">
        <v>2632</v>
      </c>
      <c r="N138" s="76" t="s">
        <v>1155</v>
      </c>
      <c r="O138" s="52">
        <v>1.3</v>
      </c>
      <c r="P138" s="52" t="s">
        <v>2137</v>
      </c>
      <c r="Q138" s="84" t="s">
        <v>2633</v>
      </c>
      <c r="R138" s="84" t="s">
        <v>1155</v>
      </c>
      <c r="S138" s="38">
        <v>0</v>
      </c>
      <c r="T138" s="39" t="s">
        <v>935</v>
      </c>
      <c r="U138" s="40">
        <v>0</v>
      </c>
      <c r="V138" s="41" t="s">
        <v>935</v>
      </c>
      <c r="W138" s="42" t="s">
        <v>59</v>
      </c>
      <c r="X138" s="181" t="s">
        <v>2634</v>
      </c>
      <c r="Y138" s="22">
        <v>600</v>
      </c>
      <c r="AA138" s="28" t="s">
        <v>57</v>
      </c>
      <c r="AB138" s="176" t="s">
        <v>58</v>
      </c>
      <c r="AC138" s="22">
        <v>0</v>
      </c>
      <c r="AD138" s="22" t="s">
        <v>59</v>
      </c>
      <c r="AE138" s="176" t="s">
        <v>78</v>
      </c>
      <c r="AF138" s="176" t="s">
        <v>78</v>
      </c>
      <c r="AG138" s="23" t="s">
        <v>1137</v>
      </c>
      <c r="AH138" s="177" t="s">
        <v>2635</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v>24</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24</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
      <c r="A148" s="181">
        <v>2002</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7d of Rifampicin (between day 1 and 8)</v>
      </c>
      <c r="E148" s="139" t="str">
        <f>IF(AND(A148&lt;&gt;"",ISNUMBER(A148)),VLOOKUP(A148,Studies!A:BR,5,FALSE),"")</f>
        <v>Midazolam</v>
      </c>
      <c r="F148" s="42" t="s">
        <v>53</v>
      </c>
      <c r="G148" s="205" t="str">
        <f>IF(AND(A148&lt;&gt;"",ISNUMBER(A148)),VLOOKUP(A148,Studies!A:BR,13,FALSE),"")</f>
        <v>PO</v>
      </c>
      <c r="H148" s="68" t="s">
        <v>58</v>
      </c>
      <c r="I148" s="138" t="s">
        <v>3062</v>
      </c>
      <c r="J148" s="205" t="str">
        <f>IF(AND(A148&lt;&gt;"",ISNUMBER(A148)),VLOOKUP(A148,Studies!A:BR,6,FALSE),"")</f>
        <v>Plasma</v>
      </c>
      <c r="K148" s="187">
        <f>1/3.9</f>
        <v>0.25641025641025644</v>
      </c>
      <c r="L148" s="43" t="s">
        <v>993</v>
      </c>
      <c r="M148" s="76" t="str">
        <f>1/4.8&amp;"-"&amp;1/3</f>
        <v>0.208333333333333-0.333333333333333</v>
      </c>
      <c r="N148" s="76" t="s">
        <v>1096</v>
      </c>
      <c r="O148" s="52">
        <f>2.7/7.2</f>
        <v>0.375</v>
      </c>
      <c r="P148" s="193" t="s">
        <v>1100</v>
      </c>
      <c r="S148" s="38">
        <v>0</v>
      </c>
      <c r="T148" s="39">
        <v>6</v>
      </c>
      <c r="U148" s="40">
        <v>156</v>
      </c>
      <c r="V148" s="41">
        <v>162</v>
      </c>
      <c r="W148" s="42" t="s">
        <v>59</v>
      </c>
      <c r="X148" s="181" t="s">
        <v>2669</v>
      </c>
      <c r="Y148" s="22">
        <v>300</v>
      </c>
      <c r="AA148" s="28" t="s">
        <v>57</v>
      </c>
      <c r="AB148" s="22" t="s">
        <v>58</v>
      </c>
      <c r="AC148" s="22" t="s">
        <v>2612</v>
      </c>
      <c r="AD148" s="22" t="s">
        <v>59</v>
      </c>
      <c r="AE148" s="176" t="s">
        <v>3024</v>
      </c>
      <c r="AF148" s="176" t="s">
        <v>2670</v>
      </c>
      <c r="AG148" s="23" t="s">
        <v>1141</v>
      </c>
      <c r="AH148" s="177" t="s">
        <v>2938</v>
      </c>
    </row>
    <row r="149" spans="1:41" x14ac:dyDescent="0.2">
      <c r="A149" s="181">
        <v>2003</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7d of Rifampicin (between day 1 and 8)</v>
      </c>
      <c r="E149" s="139" t="str">
        <f>IF(AND(A149&lt;&gt;"",ISNUMBER(A149)),VLOOKUP(A149,Studies!A:BR,5,FALSE),"")</f>
        <v>Midazolam</v>
      </c>
      <c r="F149" s="42" t="s">
        <v>53</v>
      </c>
      <c r="G149" s="205" t="str">
        <f>IF(AND(A149&lt;&gt;"",ISNUMBER(A149)),VLOOKUP(A149,Studies!A:BR,13,FALSE),"")</f>
        <v>PO</v>
      </c>
      <c r="H149" s="68" t="s">
        <v>58</v>
      </c>
      <c r="I149" s="138" t="s">
        <v>3062</v>
      </c>
      <c r="J149" s="205" t="str">
        <f>IF(AND(A149&lt;&gt;"",ISNUMBER(A149)),VLOOKUP(A149,Studies!A:BR,6,FALSE),"")</f>
        <v>Plasma</v>
      </c>
      <c r="K149" s="43">
        <f>1/5.3</f>
        <v>0.18867924528301888</v>
      </c>
      <c r="L149" s="43" t="s">
        <v>993</v>
      </c>
      <c r="M149" s="76" t="str">
        <f>1/6.4&amp;"-"&amp;1/3.8</f>
        <v>0.15625-0.263157894736842</v>
      </c>
      <c r="N149" s="76" t="s">
        <v>1096</v>
      </c>
      <c r="O149" s="52">
        <f>1.2/5.5</f>
        <v>0.21818181818181817</v>
      </c>
      <c r="P149" s="193" t="s">
        <v>1100</v>
      </c>
      <c r="R149" s="202"/>
      <c r="S149" s="38">
        <v>0</v>
      </c>
      <c r="T149" s="39">
        <v>6</v>
      </c>
      <c r="U149" s="40">
        <v>156</v>
      </c>
      <c r="V149" s="41">
        <v>162</v>
      </c>
      <c r="W149" s="42" t="s">
        <v>59</v>
      </c>
      <c r="X149" s="181" t="s">
        <v>2671</v>
      </c>
      <c r="Y149" s="22">
        <v>300</v>
      </c>
      <c r="AA149" s="28" t="s">
        <v>57</v>
      </c>
      <c r="AB149" s="22" t="s">
        <v>58</v>
      </c>
      <c r="AC149" s="22" t="s">
        <v>2612</v>
      </c>
      <c r="AD149" s="22" t="s">
        <v>59</v>
      </c>
      <c r="AE149" s="176" t="s">
        <v>3024</v>
      </c>
      <c r="AF149" s="176" t="s">
        <v>2670</v>
      </c>
      <c r="AG149" s="23" t="s">
        <v>1141</v>
      </c>
      <c r="AH149" s="177" t="s">
        <v>2938</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
      <c r="A166" s="30">
        <v>2036</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Male</v>
      </c>
      <c r="E166" s="139" t="str">
        <f>IF(AND(A166&lt;&gt;"",ISNUMBER(A166)),VLOOKUP(A166,Studies!A:BR,5,FALSE),"")</f>
        <v>Midazolam</v>
      </c>
      <c r="F166" s="42" t="s">
        <v>53</v>
      </c>
      <c r="G166" s="205" t="str">
        <f>IF(AND(A166&lt;&gt;"",ISNUMBER(A166)),VLOOKUP(A166,Studies!A:BR,13,FALSE),"")</f>
        <v>IV</v>
      </c>
      <c r="H166" s="68" t="s">
        <v>58</v>
      </c>
      <c r="I166" s="138" t="s">
        <v>3062</v>
      </c>
      <c r="J166" s="205" t="str">
        <f>IF(AND(A166&lt;&gt;"",ISNUMBER(A166)),VLOOKUP(A166,Studies!A:BR,6,FALSE),"")</f>
        <v>Plasma</v>
      </c>
      <c r="K166" s="43">
        <f>0.46*2.5</f>
        <v>1.1500000000000001</v>
      </c>
      <c r="L166" s="43" t="s">
        <v>2625</v>
      </c>
      <c r="M166" s="76" t="str">
        <f>0.41*2.5&amp;" - "&amp;2.5*0.51</f>
        <v>1.025 - 1.275</v>
      </c>
      <c r="N166" s="76" t="s">
        <v>1155</v>
      </c>
      <c r="S166" s="38">
        <v>0</v>
      </c>
      <c r="T166" s="39" t="s">
        <v>935</v>
      </c>
      <c r="U166" s="40">
        <v>216</v>
      </c>
      <c r="V166" s="41" t="s">
        <v>935</v>
      </c>
      <c r="W166" s="42" t="s">
        <v>59</v>
      </c>
      <c r="X166" s="181" t="s">
        <v>2984</v>
      </c>
      <c r="Y166" s="176">
        <v>600</v>
      </c>
      <c r="Z166" s="180"/>
      <c r="AA166" s="180" t="s">
        <v>57</v>
      </c>
      <c r="AB166" s="176" t="s">
        <v>58</v>
      </c>
      <c r="AC166" s="176" t="s">
        <v>2616</v>
      </c>
      <c r="AD166" s="176" t="s">
        <v>59</v>
      </c>
      <c r="AE166" s="176" t="s">
        <v>3021</v>
      </c>
      <c r="AF166" s="176" t="s">
        <v>2649</v>
      </c>
      <c r="AG166" s="23" t="s">
        <v>1141</v>
      </c>
      <c r="AH166" s="177" t="s">
        <v>2661</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
      <c r="A168" s="30">
        <v>2039</v>
      </c>
      <c r="B168" s="204" t="str">
        <f>IF(AND(A168&lt;&gt;"",ISNUMBER(A168)),VLOOKUP(A168,Studies!A:BR,2,FALSE),"")</f>
        <v>Kim 2018</v>
      </c>
      <c r="C168" s="204" t="str">
        <f>IF(AND(A168&lt;&gt;"",ISNUMBER(A168)),VLOOKUP(A168,Studies!A:BR,3,FALSE),"")</f>
        <v>https://www.ncbi.nlm.nih.gov/pubmed/28877336</v>
      </c>
      <c r="D168" s="204" t="str">
        <f>IF(AND(A168&lt;&gt;"",ISNUMBER(A168)),VLOOKUP(A168,Studies!A:BR,4,FALSE),"")</f>
        <v>Midazolam + Rifampicin Female</v>
      </c>
      <c r="E168" s="139" t="str">
        <f>IF(AND(A168&lt;&gt;"",ISNUMBER(A168)),VLOOKUP(A168,Studies!A:BR,5,FALSE),"")</f>
        <v>Midazolam</v>
      </c>
      <c r="F168" s="42" t="s">
        <v>53</v>
      </c>
      <c r="G168" s="205" t="str">
        <f>IF(AND(A168&lt;&gt;"",ISNUMBER(A168)),VLOOKUP(A168,Studies!A:BR,13,FALSE),"")</f>
        <v>IV</v>
      </c>
      <c r="H168" s="68" t="s">
        <v>58</v>
      </c>
      <c r="I168" s="138" t="s">
        <v>3062</v>
      </c>
      <c r="J168" s="205" t="str">
        <f>IF(AND(A168&lt;&gt;"",ISNUMBER(A168)),VLOOKUP(A168,Studies!A:BR,6,FALSE),"")</f>
        <v>Plasma</v>
      </c>
      <c r="K168" s="187">
        <f>0.49*2.5</f>
        <v>1.2250000000000001</v>
      </c>
      <c r="L168" s="43" t="s">
        <v>2625</v>
      </c>
      <c r="M168" s="76" t="str">
        <f>2.5*0.46&amp;" - "&amp;0.53*2.5</f>
        <v>1.15 - 1.325</v>
      </c>
      <c r="N168" s="76" t="s">
        <v>1155</v>
      </c>
      <c r="S168" s="38">
        <v>0</v>
      </c>
      <c r="T168" s="39" t="s">
        <v>935</v>
      </c>
      <c r="U168" s="40">
        <v>216</v>
      </c>
      <c r="V168" s="41" t="s">
        <v>935</v>
      </c>
      <c r="W168" s="42" t="s">
        <v>59</v>
      </c>
      <c r="X168" s="181" t="s">
        <v>2984</v>
      </c>
      <c r="Y168" s="22">
        <v>600</v>
      </c>
      <c r="AA168" s="28" t="s">
        <v>57</v>
      </c>
      <c r="AB168" s="22" t="s">
        <v>58</v>
      </c>
      <c r="AC168" s="22" t="s">
        <v>2616</v>
      </c>
      <c r="AD168" s="22" t="s">
        <v>59</v>
      </c>
      <c r="AE168" s="176" t="s">
        <v>3021</v>
      </c>
      <c r="AF168" s="176" t="s">
        <v>2649</v>
      </c>
      <c r="AG168" s="23" t="s">
        <v>1141</v>
      </c>
      <c r="AH168" s="177" t="s">
        <v>2661</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39"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39"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39"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39"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39"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39" x14ac:dyDescent="0.2">
      <c r="A182" s="91">
        <v>200</v>
      </c>
      <c r="B182" s="204" t="str">
        <f>IF(AND(A182&lt;&gt;"",ISNUMBER(A182)),VLOOKUP(A182,Studies!A:BR,2,FALSE),"")</f>
        <v>Yu 2004</v>
      </c>
      <c r="C182" s="204" t="str">
        <f>IF(AND(A182&lt;&gt;"",ISNUMBER(A182)),VLOOKUP(A182,Studies!A:BR,3,FALSE),"")</f>
        <v>https://www.ncbi.nlm.nih.gov/pubmed/15289787</v>
      </c>
      <c r="D182" s="204" t="str">
        <f>IF(AND(A182&lt;&gt;"",ISNUMBER(A182)),VLOOKUP(A182,Studies!A:BR,4,FALSE),"")</f>
        <v>Treatment Rifampicin CYP3A5*1/*1</v>
      </c>
      <c r="E182" s="139" t="str">
        <f>IF(AND(A182&lt;&gt;"",ISNUMBER(A182)),VLOOKUP(A182,Studies!A:BR,5,FALSE),"")</f>
        <v>Midazolam</v>
      </c>
      <c r="F182" s="186" t="s">
        <v>53</v>
      </c>
      <c r="G182" s="205" t="str">
        <f>IF(AND(A182&lt;&gt;"",ISNUMBER(A182)),VLOOKUP(A182,Studies!A:BR,13,FALSE),"")</f>
        <v>IV</v>
      </c>
      <c r="H182" s="138" t="s">
        <v>58</v>
      </c>
      <c r="I182" s="138" t="s">
        <v>3062</v>
      </c>
      <c r="J182" s="205" t="str">
        <f>IF(AND(A182&lt;&gt;"",ISNUMBER(A182)),VLOOKUP(A182,Studies!A:BR,6,FALSE),"")</f>
        <v>Plasma</v>
      </c>
      <c r="K182" s="43">
        <f>1/2.03*2/1</f>
        <v>0.98522167487684742</v>
      </c>
      <c r="L182" s="187" t="s">
        <v>2719</v>
      </c>
      <c r="S182" s="182">
        <v>0</v>
      </c>
      <c r="T182" s="183">
        <v>9999</v>
      </c>
      <c r="U182" s="40">
        <v>240</v>
      </c>
      <c r="V182" s="185">
        <v>9999</v>
      </c>
      <c r="W182" s="186" t="s">
        <v>59</v>
      </c>
      <c r="X182" s="181" t="s">
        <v>3017</v>
      </c>
      <c r="Y182" s="22">
        <v>600</v>
      </c>
      <c r="AA182" s="28" t="s">
        <v>57</v>
      </c>
      <c r="AB182" s="22" t="s">
        <v>58</v>
      </c>
      <c r="AC182" s="22" t="s">
        <v>2616</v>
      </c>
      <c r="AD182" s="22" t="s">
        <v>59</v>
      </c>
      <c r="AE182" s="176" t="s">
        <v>3021</v>
      </c>
      <c r="AF182" s="176" t="s">
        <v>2649</v>
      </c>
      <c r="AH182" s="177" t="s">
        <v>3016</v>
      </c>
      <c r="AL182" s="52" t="s">
        <v>613</v>
      </c>
      <c r="AM182" s="52" t="s">
        <v>1958</v>
      </c>
    </row>
    <row r="183" spans="1:39" x14ac:dyDescent="0.2">
      <c r="A183" s="91">
        <v>201</v>
      </c>
      <c r="B183" s="204" t="str">
        <f>IF(AND(A183&lt;&gt;"",ISNUMBER(A183)),VLOOKUP(A183,Studies!A:BR,2,FALSE),"")</f>
        <v>Yu 2004</v>
      </c>
      <c r="C183" s="204" t="str">
        <f>IF(AND(A183&lt;&gt;"",ISNUMBER(A183)),VLOOKUP(A183,Studies!A:BR,3,FALSE),"")</f>
        <v>https://www.ncbi.nlm.nih.gov/pubmed/15289787</v>
      </c>
      <c r="D183" s="204" t="str">
        <f>IF(AND(A183&lt;&gt;"",ISNUMBER(A183)),VLOOKUP(A183,Studies!A:BR,4,FALSE),"")</f>
        <v>Treatment Rifampicin CYP3A5*1/*3</v>
      </c>
      <c r="E183" s="139" t="str">
        <f>IF(AND(A183&lt;&gt;"",ISNUMBER(A183)),VLOOKUP(A183,Studies!A:BR,5,FALSE),"")</f>
        <v>Midazolam</v>
      </c>
      <c r="F183" s="186" t="s">
        <v>53</v>
      </c>
      <c r="G183" s="205" t="str">
        <f>IF(AND(A183&lt;&gt;"",ISNUMBER(A183)),VLOOKUP(A183,Studies!A:BR,13,FALSE),"")</f>
        <v>IV</v>
      </c>
      <c r="H183" s="138" t="s">
        <v>58</v>
      </c>
      <c r="I183" s="138" t="s">
        <v>3062</v>
      </c>
      <c r="J183" s="205" t="str">
        <f>IF(AND(A183&lt;&gt;"",ISNUMBER(A183)),VLOOKUP(A183,Studies!A:BR,6,FALSE),"")</f>
        <v>Plasma</v>
      </c>
      <c r="K183" s="43">
        <f>1/2.44*2/1</f>
        <v>0.81967213114754101</v>
      </c>
      <c r="L183" s="187" t="s">
        <v>2719</v>
      </c>
      <c r="S183" s="182">
        <v>0</v>
      </c>
      <c r="T183" s="183">
        <v>9999</v>
      </c>
      <c r="U183" s="40">
        <v>240</v>
      </c>
      <c r="V183" s="185">
        <v>9999</v>
      </c>
      <c r="W183" s="186" t="s">
        <v>59</v>
      </c>
      <c r="X183" s="181" t="s">
        <v>3017</v>
      </c>
      <c r="Y183" s="176">
        <v>600</v>
      </c>
      <c r="Z183" s="180"/>
      <c r="AA183" s="180" t="s">
        <v>57</v>
      </c>
      <c r="AB183" s="176" t="s">
        <v>58</v>
      </c>
      <c r="AC183" s="176" t="s">
        <v>2616</v>
      </c>
      <c r="AD183" s="176" t="s">
        <v>59</v>
      </c>
      <c r="AE183" s="176" t="s">
        <v>3021</v>
      </c>
      <c r="AF183" s="176" t="s">
        <v>2649</v>
      </c>
      <c r="AG183" s="177"/>
      <c r="AH183" s="177" t="s">
        <v>3016</v>
      </c>
      <c r="AI183" s="178"/>
      <c r="AJ183" s="177"/>
      <c r="AK183" s="177"/>
      <c r="AL183" s="193" t="s">
        <v>613</v>
      </c>
      <c r="AM183" s="193" t="s">
        <v>1958</v>
      </c>
    </row>
    <row r="184" spans="1:39" x14ac:dyDescent="0.2">
      <c r="A184" s="91">
        <v>202</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CYP3A5*3/*3</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1/2.4*2/1</f>
        <v>0.83333333333333337</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39"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186" spans="1:39" x14ac:dyDescent="0.2">
      <c r="A186" s="30">
        <v>204</v>
      </c>
      <c r="B186" s="204" t="str">
        <f>IF(AND(A186&lt;&gt;"",ISNUMBER(A186)),VLOOKUP(A186,Studies!A:BR,2,FALSE),"")</f>
        <v>Wiesinger 2020</v>
      </c>
      <c r="C186" s="204" t="str">
        <f>IF(AND(A186&lt;&gt;"",ISNUMBER(A186)),VLOOKUP(A186,Studies!A:BR,3,FALSE),"")</f>
        <v>https://www.ncbi.nlm.nih.gov/pubmed/32275771</v>
      </c>
      <c r="D186" s="204" t="str">
        <f>IF(AND(A186&lt;&gt;"",ISNUMBER(A186)),VLOOKUP(A186,Studies!A:BR,4,FALSE),"")</f>
        <v>Weak-induction phase (RIF 10 mg)</v>
      </c>
      <c r="E186" s="139" t="str">
        <f>IF(AND(A186&lt;&gt;"",ISNUMBER(A186)),VLOOKUP(A186,Studies!A:BR,5,FALSE),"")</f>
        <v>Midazolam</v>
      </c>
      <c r="F186" s="42" t="s">
        <v>53</v>
      </c>
      <c r="G186" s="205" t="str">
        <f>IF(AND(A186&lt;&gt;"",ISNUMBER(A186)),VLOOKUP(A186,Studies!A:BR,13,FALSE),"")</f>
        <v>PO</v>
      </c>
      <c r="H186" s="138" t="s">
        <v>58</v>
      </c>
      <c r="I186" s="138" t="s">
        <v>3062</v>
      </c>
      <c r="J186" s="205" t="str">
        <f>IF(AND(A186&lt;&gt;"",ISNUMBER(A186)),VLOOKUP(A186,Studies!A:BR,6,FALSE),"")</f>
        <v>Plasma</v>
      </c>
      <c r="K186" s="43">
        <v>0.53900000000000003</v>
      </c>
      <c r="L186" s="187" t="s">
        <v>2683</v>
      </c>
      <c r="M186" s="76" t="s">
        <v>3074</v>
      </c>
      <c r="N186" s="201" t="s">
        <v>1155</v>
      </c>
      <c r="O186" s="52">
        <f>3.1/4.9</f>
        <v>0.63265306122448972</v>
      </c>
      <c r="P186" s="193" t="s">
        <v>1099</v>
      </c>
      <c r="S186" s="38">
        <v>0</v>
      </c>
      <c r="T186" s="39">
        <v>9999</v>
      </c>
      <c r="U186" s="40">
        <v>180</v>
      </c>
      <c r="V186" s="41">
        <v>444</v>
      </c>
      <c r="W186" s="42" t="s">
        <v>59</v>
      </c>
      <c r="Y186" s="22">
        <v>10</v>
      </c>
      <c r="AA186" s="180" t="s">
        <v>57</v>
      </c>
      <c r="AB186" s="176" t="s">
        <v>58</v>
      </c>
      <c r="AC186" s="22" t="s">
        <v>3075</v>
      </c>
      <c r="AD186" s="22" t="s">
        <v>59</v>
      </c>
      <c r="AE186" s="176" t="s">
        <v>3076</v>
      </c>
      <c r="AF186" s="176" t="s">
        <v>3077</v>
      </c>
      <c r="AH186" s="177" t="s">
        <v>3071</v>
      </c>
    </row>
    <row r="187" spans="1:39" x14ac:dyDescent="0.2">
      <c r="A187" s="30">
        <v>205</v>
      </c>
      <c r="B187" s="204" t="str">
        <f>IF(AND(A187&lt;&gt;"",ISNUMBER(A187)),VLOOKUP(A187,Studies!A:BR,2,FALSE),"")</f>
        <v>Wiesinger 2020</v>
      </c>
      <c r="C187" s="204" t="str">
        <f>IF(AND(A187&lt;&gt;"",ISNUMBER(A187)),VLOOKUP(A187,Studies!A:BR,3,FALSE),"")</f>
        <v>https://www.ncbi.nlm.nih.gov/pubmed/32275771</v>
      </c>
      <c r="D187" s="204" t="str">
        <f>IF(AND(A187&lt;&gt;"",ISNUMBER(A187)),VLOOKUP(A187,Studies!A:BR,4,FALSE),"")</f>
        <v>Strong-induction phase (RIF 600 mg)</v>
      </c>
      <c r="E187" s="139" t="str">
        <f>IF(AND(A187&lt;&gt;"",ISNUMBER(A187)),VLOOKUP(A187,Studies!A:BR,5,FALSE),"")</f>
        <v>Midazolam</v>
      </c>
      <c r="F187" s="186" t="s">
        <v>53</v>
      </c>
      <c r="G187" s="205" t="str">
        <f>IF(AND(A187&lt;&gt;"",ISNUMBER(A187)),VLOOKUP(A187,Studies!A:BR,13,FALSE),"")</f>
        <v>PO</v>
      </c>
      <c r="H187" s="138" t="s">
        <v>58</v>
      </c>
      <c r="I187" s="138" t="s">
        <v>3062</v>
      </c>
      <c r="J187" s="205" t="str">
        <f>IF(AND(A187&lt;&gt;"",ISNUMBER(A187)),VLOOKUP(A187,Studies!A:BR,6,FALSE),"")</f>
        <v>Plasma</v>
      </c>
      <c r="K187" s="43">
        <v>0.13700000000000001</v>
      </c>
      <c r="L187" s="43" t="s">
        <v>2683</v>
      </c>
      <c r="M187" s="76" t="s">
        <v>3073</v>
      </c>
      <c r="N187" s="76" t="s">
        <v>1155</v>
      </c>
      <c r="O187" s="52">
        <f>0.919/4.9</f>
        <v>0.18755102040816327</v>
      </c>
      <c r="P187" s="193" t="s">
        <v>1099</v>
      </c>
      <c r="S187" s="38">
        <v>0</v>
      </c>
      <c r="T187" s="183">
        <v>9999</v>
      </c>
      <c r="U187" s="40">
        <v>444</v>
      </c>
      <c r="V187" s="41">
        <v>9999</v>
      </c>
      <c r="W187" s="42" t="s">
        <v>59</v>
      </c>
      <c r="Y187" s="22">
        <v>600</v>
      </c>
      <c r="AA187" s="180" t="s">
        <v>57</v>
      </c>
      <c r="AB187" s="176" t="s">
        <v>58</v>
      </c>
      <c r="AC187" s="176" t="s">
        <v>3075</v>
      </c>
      <c r="AD187" s="22" t="s">
        <v>59</v>
      </c>
      <c r="AE187" s="176" t="s">
        <v>3076</v>
      </c>
      <c r="AF187" s="176" t="s">
        <v>3077</v>
      </c>
      <c r="AH187" s="177" t="s">
        <v>3072</v>
      </c>
    </row>
    <row r="188" spans="1:39" x14ac:dyDescent="0.2">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3062</v>
      </c>
      <c r="J188" s="205" t="str">
        <f>IF(AND(A188&lt;&gt;"",ISNUMBER(A188)),VLOOKUP(A188,Studies!A:BR,6,FALSE),"")</f>
        <v>Serum</v>
      </c>
      <c r="K188" s="43">
        <v>0.81865284974093266</v>
      </c>
      <c r="L188" s="43" t="s">
        <v>1099</v>
      </c>
      <c r="S188" s="38">
        <v>0</v>
      </c>
      <c r="T188" s="39" t="s">
        <v>935</v>
      </c>
      <c r="U188" s="40">
        <v>300</v>
      </c>
      <c r="V188" s="41" t="s">
        <v>935</v>
      </c>
      <c r="W188" s="42" t="s">
        <v>59</v>
      </c>
      <c r="Y188" s="22">
        <v>600</v>
      </c>
      <c r="AA188" s="28" t="s">
        <v>57</v>
      </c>
      <c r="AB188" s="22" t="s">
        <v>58</v>
      </c>
      <c r="AC188" s="22" t="s">
        <v>3190</v>
      </c>
      <c r="AD188" s="22" t="s">
        <v>59</v>
      </c>
      <c r="AE188" s="176" t="s">
        <v>3191</v>
      </c>
      <c r="AF188" s="176" t="s">
        <v>3192</v>
      </c>
      <c r="AG188" s="23" t="s">
        <v>1137</v>
      </c>
      <c r="AH188" s="177" t="s">
        <v>2661</v>
      </c>
    </row>
    <row r="189" spans="1:39" x14ac:dyDescent="0.2">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3062</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Y189" s="22">
        <v>600</v>
      </c>
      <c r="AA189" s="28" t="s">
        <v>57</v>
      </c>
      <c r="AB189" s="22" t="s">
        <v>58</v>
      </c>
      <c r="AC189" s="22" t="s">
        <v>3193</v>
      </c>
      <c r="AD189" s="22" t="s">
        <v>59</v>
      </c>
      <c r="AE189" s="176" t="s">
        <v>3194</v>
      </c>
      <c r="AF189" s="176" t="s">
        <v>3192</v>
      </c>
      <c r="AG189" s="23" t="s">
        <v>1137</v>
      </c>
      <c r="AH189" s="177" t="s">
        <v>2661</v>
      </c>
    </row>
    <row r="243" spans="26:37" x14ac:dyDescent="0.2">
      <c r="Z243" s="137"/>
      <c r="AA243" s="137"/>
      <c r="AB243" s="176"/>
      <c r="AC243" s="176"/>
      <c r="AD243" s="136"/>
      <c r="AE243" s="136"/>
      <c r="AG243" s="174"/>
      <c r="AI243" s="178"/>
      <c r="AJ243" s="178"/>
      <c r="AK243" s="178"/>
    </row>
    <row r="244" spans="26:37" x14ac:dyDescent="0.2">
      <c r="Z244" s="137"/>
      <c r="AA244" s="137"/>
      <c r="AB244" s="176"/>
      <c r="AC244" s="176"/>
      <c r="AD244" s="136"/>
      <c r="AE244" s="136"/>
      <c r="AG244" s="174"/>
      <c r="AI244" s="178"/>
      <c r="AJ244" s="178"/>
      <c r="AK244" s="178"/>
    </row>
    <row r="245" spans="26:37" x14ac:dyDescent="0.2">
      <c r="Z245" s="137"/>
      <c r="AA245" s="137"/>
      <c r="AB245" s="176"/>
      <c r="AC245" s="176"/>
      <c r="AD245" s="136"/>
      <c r="AE245" s="136"/>
      <c r="AG245" s="174"/>
      <c r="AI245" s="178"/>
      <c r="AJ245" s="178"/>
      <c r="AK245" s="178"/>
    </row>
    <row r="246" spans="26:37" x14ac:dyDescent="0.2">
      <c r="Z246" s="137"/>
      <c r="AA246" s="137"/>
      <c r="AB246" s="176"/>
      <c r="AC246" s="176"/>
      <c r="AD246" s="136"/>
      <c r="AE246" s="136"/>
      <c r="AG246" s="174"/>
      <c r="AI246" s="178"/>
      <c r="AJ246" s="178"/>
      <c r="AK246" s="178"/>
    </row>
    <row r="247" spans="26:37" x14ac:dyDescent="0.2">
      <c r="Z247" s="137"/>
      <c r="AA247" s="137"/>
      <c r="AB247" s="176"/>
      <c r="AC247" s="27"/>
      <c r="AD247" s="136"/>
      <c r="AE247" s="136"/>
      <c r="AG247" s="174"/>
      <c r="AI247" s="178"/>
      <c r="AJ247" s="178"/>
      <c r="AK247" s="178"/>
    </row>
    <row r="248" spans="26:37" x14ac:dyDescent="0.2">
      <c r="Z248" s="137"/>
      <c r="AA248" s="137"/>
      <c r="AB248" s="176"/>
      <c r="AC248" s="176"/>
      <c r="AD248" s="136"/>
      <c r="AE248" s="136"/>
      <c r="AG248" s="174"/>
      <c r="AI248" s="178"/>
      <c r="AJ248" s="178"/>
      <c r="AK248" s="178"/>
    </row>
    <row r="249" spans="26:37" x14ac:dyDescent="0.2">
      <c r="Z249" s="137"/>
      <c r="AA249" s="137"/>
      <c r="AB249" s="176"/>
      <c r="AC249" s="176"/>
      <c r="AD249" s="136"/>
      <c r="AE249" s="136"/>
      <c r="AG249" s="174"/>
      <c r="AI249" s="178"/>
      <c r="AJ249" s="178"/>
      <c r="AK249" s="178"/>
    </row>
    <row r="250" spans="26:37" x14ac:dyDescent="0.2">
      <c r="Z250" s="137"/>
      <c r="AA250" s="137"/>
      <c r="AB250" s="176"/>
      <c r="AC250" s="176"/>
      <c r="AD250" s="136"/>
      <c r="AE250" s="136"/>
      <c r="AG250" s="174"/>
      <c r="AI250" s="178"/>
      <c r="AJ250" s="178"/>
      <c r="AK250" s="178"/>
    </row>
    <row r="251" spans="26:37" x14ac:dyDescent="0.2">
      <c r="Z251" s="137"/>
      <c r="AA251" s="137"/>
      <c r="AB251" s="176"/>
      <c r="AC251" s="176"/>
      <c r="AD251" s="136"/>
      <c r="AE251" s="136"/>
      <c r="AG251" s="174"/>
      <c r="AI251" s="178"/>
      <c r="AJ251" s="178"/>
      <c r="AK251" s="178"/>
    </row>
    <row r="252" spans="26:37" x14ac:dyDescent="0.2">
      <c r="Z252" s="137"/>
      <c r="AA252" s="137"/>
      <c r="AB252" s="176"/>
      <c r="AC252" s="176"/>
      <c r="AD252" s="136"/>
      <c r="AE252" s="136"/>
      <c r="AG252" s="174"/>
      <c r="AI252" s="178"/>
      <c r="AJ252" s="178"/>
      <c r="AK252" s="178"/>
    </row>
    <row r="253" spans="26:37" x14ac:dyDescent="0.2">
      <c r="Z253" s="137"/>
      <c r="AA253" s="137"/>
      <c r="AB253" s="176"/>
      <c r="AC253" s="176"/>
      <c r="AD253" s="136"/>
      <c r="AE253" s="136"/>
      <c r="AG253" s="174"/>
      <c r="AI253" s="178"/>
      <c r="AJ253" s="178"/>
      <c r="AK253" s="178"/>
    </row>
    <row r="254" spans="26:37" x14ac:dyDescent="0.2">
      <c r="Z254" s="137"/>
      <c r="AA254" s="137"/>
      <c r="AB254" s="176"/>
      <c r="AC254" s="176"/>
      <c r="AD254" s="136"/>
      <c r="AE254" s="136"/>
      <c r="AG254" s="174"/>
      <c r="AI254" s="178"/>
      <c r="AJ254" s="178"/>
      <c r="AK254" s="178"/>
    </row>
    <row r="255" spans="26:37" x14ac:dyDescent="0.2">
      <c r="Z255" s="137"/>
      <c r="AA255" s="137"/>
      <c r="AB255" s="176"/>
      <c r="AC255" s="176"/>
      <c r="AD255" s="136"/>
      <c r="AE255" s="136"/>
      <c r="AG255" s="174"/>
      <c r="AI255" s="178"/>
      <c r="AJ255" s="178"/>
      <c r="AK255" s="178"/>
    </row>
    <row r="256" spans="26: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sheetData>
  <autoFilter ref="A1:AO187"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85"/>
  <sheetViews>
    <sheetView zoomScale="85" zoomScaleNormal="85" workbookViewId="0">
      <pane ySplit="1" topLeftCell="A956" activePane="bottomLeft" state="frozen"/>
      <selection pane="bottomLeft" activeCell="A986" sqref="A986"/>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1263</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1277</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3078</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2718</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2718</v>
      </c>
    </row>
    <row r="960" spans="1:6" x14ac:dyDescent="0.2">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382</v>
      </c>
    </row>
    <row r="961" spans="1:6" x14ac:dyDescent="0.2">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3195</v>
      </c>
    </row>
    <row r="962" spans="1:6" x14ac:dyDescent="0.2">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382</v>
      </c>
    </row>
    <row r="963" spans="1:6" x14ac:dyDescent="0.2">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3195</v>
      </c>
    </row>
    <row r="964" spans="1:6" x14ac:dyDescent="0.2">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sheetData>
  <autoFilter ref="A1:F94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ecc70ee-2d6e-4d6b-a98f-0dfc4d2572dc"/>
    <ds:schemaRef ds:uri="http://purl.org/dc/elements/1.1/"/>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2020-05-26T08:57:27Z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